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D:\"/>
    </mc:Choice>
  </mc:AlternateContent>
  <xr:revisionPtr revIDLastSave="0" documentId="8_{98735942-860E-44B4-B240-C204CC7C7237}" xr6:coauthVersionLast="47" xr6:coauthVersionMax="47" xr10:uidLastSave="{00000000-0000-0000-0000-000000000000}"/>
  <bookViews>
    <workbookView xWindow="-120" yWindow="-120" windowWidth="20730" windowHeight="11160" activeTab="3" xr2:uid="{00000000-000D-0000-FFFF-FFFF00000000}"/>
  </bookViews>
  <sheets>
    <sheet name="Instructivo" sheetId="2" r:id="rId1"/>
    <sheet name="Estado SCI" sheetId="1" r:id="rId2"/>
    <sheet name="Análisis Resultados" sheetId="3" r:id="rId3"/>
    <sheet name="Conclusión" sheetId="5" r:id="rId4"/>
    <sheet name="Hoja1" sheetId="6" state="hidden" r:id="rId5"/>
  </sheets>
  <externalReferences>
    <externalReference r:id="rId6"/>
  </externalReferences>
  <definedNames>
    <definedName name="_xlnm._FilterDatabase" localSheetId="4" hidden="1">Hoja1!$A$1:$K$45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59" i="1" l="1"/>
  <c r="J58" i="1"/>
  <c r="J57" i="1"/>
  <c r="J56" i="1"/>
  <c r="J55" i="1"/>
  <c r="J54" i="1"/>
  <c r="J53" i="1"/>
  <c r="J52" i="1"/>
  <c r="J51" i="1"/>
  <c r="J5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A59" i="1" l="1"/>
  <c r="A58" i="1"/>
  <c r="A57" i="1"/>
  <c r="A56" i="1"/>
  <c r="A55" i="1"/>
  <c r="A54" i="1"/>
  <c r="A53" i="1"/>
  <c r="A52" i="1"/>
  <c r="A51" i="1"/>
  <c r="A50" i="1"/>
  <c r="A49" i="1"/>
  <c r="A48" i="1"/>
  <c r="A47" i="1"/>
  <c r="A46" i="1"/>
  <c r="A45" i="1"/>
  <c r="A44" i="1"/>
  <c r="A43" i="1"/>
  <c r="A42" i="1"/>
  <c r="A41" i="1"/>
  <c r="A40" i="1"/>
  <c r="A39" i="1"/>
  <c r="J37" i="1"/>
  <c r="L37" i="1" s="1"/>
  <c r="J36" i="1"/>
  <c r="L36" i="1" s="1"/>
  <c r="J35" i="1"/>
  <c r="L35" i="1" s="1"/>
  <c r="J34" i="1"/>
  <c r="L34" i="1" s="1"/>
  <c r="J33" i="1"/>
  <c r="L33" i="1" s="1"/>
  <c r="J32" i="1"/>
  <c r="L32" i="1" s="1"/>
  <c r="A38" i="1"/>
  <c r="A37" i="1"/>
  <c r="A36" i="1"/>
  <c r="A35" i="1"/>
  <c r="A34" i="1"/>
  <c r="A33" i="1"/>
  <c r="A32" i="1"/>
  <c r="L59" i="1"/>
  <c r="L58" i="1"/>
  <c r="L57" i="1"/>
  <c r="L56" i="1"/>
  <c r="L55" i="1"/>
  <c r="L54" i="1"/>
  <c r="L53" i="1"/>
  <c r="L52" i="1"/>
  <c r="L51" i="1"/>
  <c r="L50" i="1"/>
  <c r="J49" i="1"/>
  <c r="L49" i="1" s="1"/>
  <c r="J48" i="1"/>
  <c r="L48" i="1" s="1"/>
  <c r="J47" i="1"/>
  <c r="L47" i="1" s="1"/>
  <c r="J46" i="1"/>
  <c r="L46" i="1" s="1"/>
  <c r="J45" i="1"/>
  <c r="L45" i="1" s="1"/>
  <c r="J44" i="1"/>
  <c r="L44" i="1" s="1"/>
  <c r="J43" i="1"/>
  <c r="L43" i="1" s="1"/>
  <c r="J42" i="1"/>
  <c r="L42" i="1" s="1"/>
  <c r="J41" i="1"/>
  <c r="L41" i="1" s="1"/>
  <c r="J40" i="1"/>
  <c r="L40" i="1" s="1"/>
  <c r="J39" i="1"/>
  <c r="L39" i="1" s="1"/>
  <c r="J38" i="1"/>
  <c r="L38" i="1" s="1"/>
  <c r="J31" i="1"/>
  <c r="L31" i="1" s="1"/>
  <c r="J30" i="1"/>
  <c r="L30" i="1" s="1"/>
  <c r="J29" i="1"/>
  <c r="L29" i="1" s="1"/>
  <c r="J28" i="1"/>
  <c r="L28" i="1" s="1"/>
  <c r="J27" i="1"/>
  <c r="L27" i="1" s="1"/>
  <c r="J26" i="1"/>
  <c r="L26" i="1" s="1"/>
  <c r="J25" i="1"/>
  <c r="L25" i="1" s="1"/>
  <c r="J24" i="1"/>
  <c r="L24" i="1" s="1"/>
  <c r="J23" i="1"/>
  <c r="L23" i="1" s="1"/>
  <c r="J22" i="1"/>
  <c r="L22" i="1" s="1"/>
  <c r="J21" i="1"/>
  <c r="L21" i="1" s="1"/>
  <c r="J20" i="1"/>
  <c r="L20" i="1" s="1"/>
  <c r="J19" i="1"/>
  <c r="L19" i="1" s="1"/>
  <c r="J18" i="1"/>
  <c r="L18" i="1" s="1"/>
  <c r="J17" i="1"/>
  <c r="L17" i="1" s="1"/>
  <c r="J16" i="1"/>
  <c r="L16" i="1" s="1"/>
  <c r="A31" i="1" l="1"/>
  <c r="A30" i="1"/>
  <c r="A29" i="1"/>
  <c r="A28" i="1"/>
  <c r="A27" i="1"/>
  <c r="A26" i="1"/>
  <c r="A25" i="1"/>
  <c r="A24" i="1"/>
  <c r="A23" i="1"/>
  <c r="A22" i="1"/>
  <c r="A21" i="1"/>
  <c r="A20" i="1"/>
  <c r="A19" i="1"/>
  <c r="A18" i="1"/>
  <c r="A17" i="1"/>
  <c r="A16" i="1"/>
  <c r="I3" i="6" l="1"/>
  <c r="J3" i="6" s="1"/>
  <c r="I11" i="6"/>
  <c r="J11" i="6" s="1"/>
  <c r="I19" i="6"/>
  <c r="J19" i="6" s="1"/>
  <c r="I25" i="6"/>
  <c r="J25" i="6" s="1"/>
  <c r="I33" i="6"/>
  <c r="J33" i="6" s="1"/>
  <c r="I41" i="6"/>
  <c r="J41" i="6" s="1"/>
  <c r="B29" i="6"/>
  <c r="I4" i="6"/>
  <c r="J4" i="6" s="1"/>
  <c r="I12" i="6"/>
  <c r="J12" i="6" s="1"/>
  <c r="I20" i="6"/>
  <c r="J20" i="6" s="1"/>
  <c r="I26" i="6"/>
  <c r="J26" i="6" s="1"/>
  <c r="I34" i="6"/>
  <c r="J34" i="6" s="1"/>
  <c r="I42" i="6"/>
  <c r="J42" i="6" s="1"/>
  <c r="B36" i="6"/>
  <c r="I5" i="6"/>
  <c r="J5" i="6" s="1"/>
  <c r="I13" i="6"/>
  <c r="J13" i="6" s="1"/>
  <c r="I27" i="6"/>
  <c r="J27" i="6" s="1"/>
  <c r="I35" i="6"/>
  <c r="J35" i="6" s="1"/>
  <c r="I43" i="6"/>
  <c r="J43" i="6" s="1"/>
  <c r="B2" i="6"/>
  <c r="I6" i="6"/>
  <c r="J6" i="6" s="1"/>
  <c r="I14" i="6"/>
  <c r="J14" i="6" s="1"/>
  <c r="I21" i="6"/>
  <c r="J21" i="6" s="1"/>
  <c r="I28" i="6"/>
  <c r="J28" i="6" s="1"/>
  <c r="I36" i="6"/>
  <c r="J36" i="6" s="1"/>
  <c r="I44" i="6"/>
  <c r="J44" i="6" s="1"/>
  <c r="I7" i="6"/>
  <c r="J7" i="6" s="1"/>
  <c r="I15" i="6"/>
  <c r="J15" i="6" s="1"/>
  <c r="I22" i="6"/>
  <c r="J22" i="6" s="1"/>
  <c r="I29" i="6"/>
  <c r="J29" i="6" s="1"/>
  <c r="I37" i="6"/>
  <c r="J37" i="6" s="1"/>
  <c r="I45" i="6"/>
  <c r="J45" i="6" s="1"/>
  <c r="I8" i="6"/>
  <c r="J8" i="6" s="1"/>
  <c r="I16" i="6"/>
  <c r="J16" i="6" s="1"/>
  <c r="I23" i="6"/>
  <c r="J23" i="6" s="1"/>
  <c r="I30" i="6"/>
  <c r="J30" i="6" s="1"/>
  <c r="I38" i="6"/>
  <c r="J38" i="6" s="1"/>
  <c r="I2" i="6"/>
  <c r="J2" i="6" s="1"/>
  <c r="I9" i="6"/>
  <c r="J9" i="6" s="1"/>
  <c r="I17" i="6"/>
  <c r="J17" i="6" s="1"/>
  <c r="I31" i="6"/>
  <c r="J31" i="6" s="1"/>
  <c r="I39" i="6"/>
  <c r="J39" i="6" s="1"/>
  <c r="B14" i="6"/>
  <c r="I10" i="6"/>
  <c r="J10" i="6" s="1"/>
  <c r="I18" i="6"/>
  <c r="J18" i="6" s="1"/>
  <c r="I24" i="6"/>
  <c r="J24" i="6" s="1"/>
  <c r="I32" i="6"/>
  <c r="J32" i="6" s="1"/>
  <c r="I40" i="6"/>
  <c r="J40" i="6" s="1"/>
  <c r="B24" i="6"/>
  <c r="G41" i="6"/>
  <c r="G40" i="6"/>
  <c r="G32" i="6"/>
  <c r="G24" i="6"/>
  <c r="G18" i="6"/>
  <c r="G10" i="6"/>
  <c r="G2" i="6"/>
  <c r="F10" i="6"/>
  <c r="F18" i="6"/>
  <c r="F24" i="6"/>
  <c r="F32" i="6"/>
  <c r="F40" i="6"/>
  <c r="G29" i="6"/>
  <c r="G7" i="6"/>
  <c r="F27" i="6"/>
  <c r="G28" i="6"/>
  <c r="G14" i="6"/>
  <c r="F14" i="6"/>
  <c r="F36" i="6"/>
  <c r="G27" i="6"/>
  <c r="G5" i="6"/>
  <c r="F22" i="6"/>
  <c r="F45" i="6"/>
  <c r="G34" i="6"/>
  <c r="G20" i="6"/>
  <c r="F8" i="6"/>
  <c r="F30" i="6"/>
  <c r="G33" i="6"/>
  <c r="G11" i="6"/>
  <c r="F17" i="6"/>
  <c r="G39" i="6"/>
  <c r="G31" i="6"/>
  <c r="G17" i="6"/>
  <c r="G9" i="6"/>
  <c r="F3" i="6"/>
  <c r="F11" i="6"/>
  <c r="F19" i="6"/>
  <c r="F25" i="6"/>
  <c r="F33" i="6"/>
  <c r="F41" i="6"/>
  <c r="G37" i="6"/>
  <c r="G15" i="6"/>
  <c r="F5" i="6"/>
  <c r="F43" i="6"/>
  <c r="G44" i="6"/>
  <c r="G21" i="6"/>
  <c r="F6" i="6"/>
  <c r="F28" i="6"/>
  <c r="G35" i="6"/>
  <c r="G13" i="6"/>
  <c r="F7" i="6"/>
  <c r="F29" i="6"/>
  <c r="G26" i="6"/>
  <c r="G4" i="6"/>
  <c r="F23" i="6"/>
  <c r="F2" i="6"/>
  <c r="G19" i="6"/>
  <c r="F9" i="6"/>
  <c r="F39" i="6"/>
  <c r="G38" i="6"/>
  <c r="G30" i="6"/>
  <c r="G23" i="6"/>
  <c r="G16" i="6"/>
  <c r="G8" i="6"/>
  <c r="F4" i="6"/>
  <c r="F12" i="6"/>
  <c r="F20" i="6"/>
  <c r="F26" i="6"/>
  <c r="F34" i="6"/>
  <c r="F42" i="6"/>
  <c r="G45" i="6"/>
  <c r="G22" i="6"/>
  <c r="F13" i="6"/>
  <c r="F35" i="6"/>
  <c r="G36" i="6"/>
  <c r="G6" i="6"/>
  <c r="F21" i="6"/>
  <c r="F44" i="6"/>
  <c r="G43" i="6"/>
  <c r="F15" i="6"/>
  <c r="F37" i="6"/>
  <c r="G42" i="6"/>
  <c r="G12" i="6"/>
  <c r="F16" i="6"/>
  <c r="F38" i="6"/>
  <c r="G25" i="6"/>
  <c r="G3" i="6"/>
  <c r="F31" i="6"/>
  <c r="K24" i="6" l="1"/>
  <c r="G30" i="5" s="1"/>
  <c r="K29" i="6"/>
  <c r="K36" i="6"/>
  <c r="K14" i="6"/>
  <c r="K9" i="6"/>
  <c r="K6" i="6"/>
  <c r="K35" i="6"/>
  <c r="K19" i="6"/>
  <c r="K23" i="6"/>
  <c r="K40" i="6"/>
  <c r="K10" i="6"/>
  <c r="K7" i="6"/>
  <c r="K44" i="6"/>
  <c r="K20" i="6"/>
  <c r="K38" i="6"/>
  <c r="K3" i="6"/>
  <c r="K8" i="6"/>
  <c r="K30" i="6"/>
  <c r="K37" i="6"/>
  <c r="K25" i="6"/>
  <c r="K45" i="6"/>
  <c r="K11" i="6"/>
  <c r="K4" i="6"/>
  <c r="K12" i="6"/>
  <c r="K32" i="6"/>
  <c r="K41" i="6"/>
  <c r="K17" i="6"/>
  <c r="K15" i="6"/>
  <c r="K28" i="6"/>
  <c r="K39" i="6"/>
  <c r="K27" i="6"/>
  <c r="K5" i="6"/>
  <c r="K33" i="6"/>
  <c r="K42" i="6"/>
  <c r="K22" i="6"/>
  <c r="K2" i="6"/>
  <c r="K31" i="6"/>
  <c r="K13" i="6"/>
  <c r="K34" i="6"/>
  <c r="K43" i="6"/>
  <c r="K18" i="6"/>
  <c r="K16" i="6"/>
  <c r="K26" i="6"/>
  <c r="K21" i="6"/>
  <c r="H37" i="6"/>
  <c r="H17" i="6"/>
  <c r="H30" i="6"/>
  <c r="H2" i="6"/>
  <c r="H10" i="6"/>
  <c r="H44" i="6"/>
  <c r="H6" i="6"/>
  <c r="H7" i="6"/>
  <c r="H42" i="6"/>
  <c r="H36" i="6"/>
  <c r="H11" i="6"/>
  <c r="H5" i="6"/>
  <c r="H29" i="6"/>
  <c r="H18" i="6"/>
  <c r="H12" i="6"/>
  <c r="H38" i="6"/>
  <c r="H13" i="6"/>
  <c r="H33" i="6"/>
  <c r="H27" i="6"/>
  <c r="H24" i="6"/>
  <c r="H3" i="6"/>
  <c r="H8" i="6"/>
  <c r="H26" i="6"/>
  <c r="H39" i="6"/>
  <c r="H19" i="6"/>
  <c r="H35" i="6"/>
  <c r="H15" i="6"/>
  <c r="H9" i="6"/>
  <c r="H32" i="6"/>
  <c r="H40" i="6"/>
  <c r="H22" i="6"/>
  <c r="H25" i="6"/>
  <c r="H45" i="6"/>
  <c r="H20" i="6"/>
  <c r="H14" i="6"/>
  <c r="H43" i="6"/>
  <c r="H16" i="6"/>
  <c r="H23" i="6"/>
  <c r="H4" i="6"/>
  <c r="H21" i="6"/>
  <c r="H31" i="6"/>
  <c r="H34" i="6"/>
  <c r="H28" i="6"/>
  <c r="H41" i="6"/>
  <c r="E30" i="5" l="1"/>
  <c r="E26" i="5"/>
  <c r="G26" i="5"/>
  <c r="E28" i="5"/>
  <c r="G28" i="5"/>
  <c r="G34" i="5"/>
  <c r="E34" i="5"/>
  <c r="E32" i="5"/>
  <c r="G32" i="5"/>
  <c r="F56" i="3"/>
  <c r="F48" i="3"/>
  <c r="F40" i="3"/>
  <c r="F32" i="3"/>
  <c r="F24" i="3"/>
  <c r="F55" i="3"/>
  <c r="F47" i="3"/>
  <c r="F39" i="3"/>
  <c r="F31" i="3"/>
  <c r="F23" i="3"/>
  <c r="F34" i="3"/>
  <c r="F62" i="3"/>
  <c r="F54" i="3"/>
  <c r="F46" i="3"/>
  <c r="F38" i="3"/>
  <c r="F30" i="3"/>
  <c r="F22" i="3"/>
  <c r="F53" i="3"/>
  <c r="F45" i="3"/>
  <c r="F37" i="3"/>
  <c r="F29" i="3"/>
  <c r="F57" i="3"/>
  <c r="F33" i="3"/>
  <c r="F61" i="3"/>
  <c r="F21" i="3"/>
  <c r="F58" i="3"/>
  <c r="F50" i="3"/>
  <c r="F26" i="3"/>
  <c r="F60" i="3"/>
  <c r="F52" i="3"/>
  <c r="F44" i="3"/>
  <c r="F36" i="3"/>
  <c r="F28" i="3"/>
  <c r="F20" i="3"/>
  <c r="F25" i="3"/>
  <c r="F59" i="3"/>
  <c r="F51" i="3"/>
  <c r="F43" i="3"/>
  <c r="F35" i="3"/>
  <c r="F27" i="3"/>
  <c r="F19" i="3"/>
  <c r="F42" i="3"/>
  <c r="F49" i="3"/>
  <c r="F41" i="3"/>
  <c r="E56" i="3"/>
  <c r="E40" i="3"/>
  <c r="E55" i="3"/>
  <c r="E47" i="3"/>
  <c r="E39" i="3"/>
  <c r="E31" i="3"/>
  <c r="E23" i="3"/>
  <c r="E51" i="3"/>
  <c r="E27" i="3"/>
  <c r="E58" i="3"/>
  <c r="E26" i="3"/>
  <c r="E57" i="3"/>
  <c r="E25" i="3"/>
  <c r="E24" i="3"/>
  <c r="E62" i="3"/>
  <c r="E54" i="3"/>
  <c r="E46" i="3"/>
  <c r="E38" i="3"/>
  <c r="E30" i="3"/>
  <c r="E22" i="3"/>
  <c r="E60" i="3"/>
  <c r="E20" i="3"/>
  <c r="E43" i="3"/>
  <c r="E50" i="3"/>
  <c r="E34" i="3"/>
  <c r="E49" i="3"/>
  <c r="E48" i="3"/>
  <c r="E61" i="3"/>
  <c r="E53" i="3"/>
  <c r="E45" i="3"/>
  <c r="E37" i="3"/>
  <c r="E29" i="3"/>
  <c r="E21" i="3"/>
  <c r="E52" i="3"/>
  <c r="E44" i="3"/>
  <c r="E36" i="3"/>
  <c r="E28" i="3"/>
  <c r="E59" i="3"/>
  <c r="E35" i="3"/>
  <c r="E19" i="3"/>
  <c r="E42" i="3"/>
  <c r="E41" i="3"/>
  <c r="E33" i="3"/>
  <c r="E32" i="3"/>
  <c r="I61" i="3" l="1"/>
  <c r="G61" i="3"/>
  <c r="I59" i="3"/>
  <c r="G59" i="3"/>
  <c r="I45" i="3"/>
  <c r="G45" i="3"/>
  <c r="G20" i="3"/>
  <c r="I20" i="3"/>
  <c r="G24" i="3"/>
  <c r="I24" i="3"/>
  <c r="I31" i="3"/>
  <c r="G31" i="3"/>
  <c r="I32" i="3"/>
  <c r="G32" i="3"/>
  <c r="G28" i="3"/>
  <c r="I28" i="3"/>
  <c r="I53" i="3"/>
  <c r="G53" i="3"/>
  <c r="I60" i="3"/>
  <c r="G60" i="3"/>
  <c r="G25" i="3"/>
  <c r="I25" i="3"/>
  <c r="I39" i="3"/>
  <c r="G39" i="3"/>
  <c r="G22" i="3"/>
  <c r="I22" i="3"/>
  <c r="I57" i="3"/>
  <c r="G57" i="3"/>
  <c r="I47" i="3"/>
  <c r="G47" i="3"/>
  <c r="I33" i="3"/>
  <c r="G33" i="3"/>
  <c r="I44" i="3"/>
  <c r="G44" i="3"/>
  <c r="I48" i="3"/>
  <c r="G48" i="3"/>
  <c r="I30" i="3"/>
  <c r="G30" i="3"/>
  <c r="G26" i="3"/>
  <c r="I26" i="3"/>
  <c r="I55" i="3"/>
  <c r="G55" i="3"/>
  <c r="I41" i="3"/>
  <c r="G41" i="3"/>
  <c r="I52" i="3"/>
  <c r="G52" i="3"/>
  <c r="I49" i="3"/>
  <c r="G49" i="3"/>
  <c r="I38" i="3"/>
  <c r="G38" i="3"/>
  <c r="I58" i="3"/>
  <c r="G58" i="3"/>
  <c r="I42" i="3"/>
  <c r="G42" i="3"/>
  <c r="G21" i="3"/>
  <c r="I21" i="3"/>
  <c r="I34" i="3"/>
  <c r="G34" i="3"/>
  <c r="I46" i="3"/>
  <c r="G46" i="3"/>
  <c r="I27" i="3"/>
  <c r="G27" i="3"/>
  <c r="I40" i="3"/>
  <c r="G40" i="3"/>
  <c r="I36" i="3"/>
  <c r="G36" i="3"/>
  <c r="I19" i="3"/>
  <c r="G19" i="3"/>
  <c r="G29" i="3"/>
  <c r="I29" i="3"/>
  <c r="I50" i="3"/>
  <c r="G50" i="3"/>
  <c r="I54" i="3"/>
  <c r="G54" i="3"/>
  <c r="I51" i="3"/>
  <c r="G51" i="3"/>
  <c r="I56" i="3"/>
  <c r="G56" i="3"/>
  <c r="I35" i="3"/>
  <c r="G35" i="3"/>
  <c r="I37" i="3"/>
  <c r="G37" i="3"/>
  <c r="I43" i="3"/>
  <c r="G43" i="3"/>
  <c r="I62" i="3"/>
  <c r="G62" i="3"/>
  <c r="G23" i="3"/>
  <c r="I23" i="3"/>
  <c r="J41" i="3" l="1"/>
  <c r="J53" i="3"/>
  <c r="J46" i="3"/>
  <c r="J31" i="3"/>
  <c r="J19" i="3"/>
  <c r="M8" i="5" l="1"/>
</calcChain>
</file>

<file path=xl/sharedStrings.xml><?xml version="1.0" encoding="utf-8"?>
<sst xmlns="http://schemas.openxmlformats.org/spreadsheetml/2006/main" count="514" uniqueCount="239">
  <si>
    <t>EVALUACIÓN INDEPENDIENTE SISTEMA DE CONTROL INTERNO
Entidades Pequeñas
(instrucciones para su diligenciamiento)</t>
  </si>
  <si>
    <t>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Esta estructura requiere de un análisis articulado frente al desarrollo de las políticas de gestión y desempeño contenidas en el modelo y su efectividad en relación con la estructura de control, este útlimo, aspecto esecial para garantizar el buen manejo de los recursos, que las metas y objetivos se cumplan y se mejore la prestación del servicio a los usuarios, ejes fundamentales para la generación de valor público.
Teniendo en cuenta lo anterior y dada la necesidad de dar cumplimiento a la dispuesto en el articulo 156 del Decreto 2106 de 2019, el presente formatobusca que las entidades cuenten con una herramienta para evaluar sus Sistemas de Control Interno de manera integral y permitirle al Jefe de Control Interno o quien haga sus veces llevar a cabo el informe de evaluación independiente sobre el mismo para su publicación cada seis (6) meses, en el sitio web de la entidad. La estructura propuesta es diferencial para aquellas entidades de municipios de 6a categoría (Personerías y Concejos Municipales) que son entidades con 1 y hasta 5 servidores en sus plantas de personal. Estas entidades deben tener en cuenta que de acuerdo con el parágrafo del artículo ARTÍCULO 2.2.22.2.1. del Decreto 1499 de 2017, las políticas de gestión y desempeño contenidas en el Modelo Integrado de Planeación y Gestión MIPG, deben ser aplicadas acorde con las normas que las regulan, por lo que deben analizar dichas políticas e implementarlas en armonía con el MECI.</t>
  </si>
  <si>
    <t>Orientaciones Generales</t>
  </si>
  <si>
    <r>
      <t xml:space="preserve">El archivo contiene las siguientes hojas:
 -  1 </t>
    </r>
    <r>
      <rPr>
        <b/>
        <sz val="11"/>
        <rFont val="Arial Narrow"/>
        <family val="2"/>
      </rPr>
      <t xml:space="preserve">Pestaña que desarrolla la estructura para evaluar el estado del Sistema de Control Interno: </t>
    </r>
    <r>
      <rPr>
        <sz val="11"/>
        <rFont val="Arial Narrow"/>
        <family val="2"/>
      </rPr>
      <t xml:space="preserve">Se desagrega en </t>
    </r>
    <r>
      <rPr>
        <sz val="10"/>
        <rFont val="Arial Narrow"/>
        <family val="2"/>
      </rPr>
      <t>"Ambiente de Control", "Evaluación de riesgos", "Actividades de control", "Información y Comunicación", y " Actividades de Monitoreo", componentes actuales del Modelo Estándar de Control Interno MECI. La estructura es la siguiente para el diligenciamiento:</t>
    </r>
  </si>
  <si>
    <t>Columna</t>
  </si>
  <si>
    <t>Descripción</t>
  </si>
  <si>
    <t>Componente del MECI asociado</t>
  </si>
  <si>
    <t>Esta columna define los componentes del MECI.</t>
  </si>
  <si>
    <t>Lineamiento General por Componente</t>
  </si>
  <si>
    <t>En esta columna establece el lineamientos general para cada uno de los componentes del MECI</t>
  </si>
  <si>
    <t>Requerimiento Asociado al Componente</t>
  </si>
  <si>
    <t>Se muestran una serie de preguntas con 3 opciones de respuesta así:
1. SI
2.NO
3. EN PROCESO</t>
  </si>
  <si>
    <t>Evidencia de Seguimiento al Control</t>
  </si>
  <si>
    <t>Establezca actividades adelantadas de aplicación del documento o elemento antes identificado (esto cuando se responde SI o bien EN PROCESO)</t>
  </si>
  <si>
    <r>
      <t xml:space="preserve"> -</t>
    </r>
    <r>
      <rPr>
        <sz val="11"/>
        <rFont val="Arial Narrow"/>
        <family val="2"/>
      </rPr>
      <t xml:space="preserve"> </t>
    </r>
    <r>
      <rPr>
        <b/>
        <sz val="11"/>
        <rFont val="Arial Narrow"/>
        <family val="2"/>
      </rPr>
      <t>Análisis de Resultados:</t>
    </r>
    <r>
      <rPr>
        <sz val="10"/>
        <rFont val="Arial Narrow"/>
        <family val="2"/>
      </rPr>
      <t xml:space="preserve"> Esta hoja permite consolidar los resultados para cada componente evaluado.</t>
    </r>
  </si>
  <si>
    <t xml:space="preserve">Clasificación </t>
  </si>
  <si>
    <t>Observaciones del Control</t>
  </si>
  <si>
    <t>Mantenimiento del Control</t>
  </si>
  <si>
    <t>Existe requerimiento pero se requiere actividades  dirigidas a su mantenimiento dentro del marco de las lineas de defensa.</t>
  </si>
  <si>
    <t>Oportunidad de Mejora</t>
  </si>
  <si>
    <t>Se encuentra en proceso, pero requiere continuar con acciones dirigidas a contar con dicho aspecto de control</t>
  </si>
  <si>
    <t xml:space="preserve">Deficiencia del Control 
</t>
  </si>
  <si>
    <t>No se encuentra el aspecto  por lo tanto la entidad debera generar acciones dirigidas a que se cumpla con el requerimiento .</t>
  </si>
  <si>
    <r>
      <t xml:space="preserve"> -</t>
    </r>
    <r>
      <rPr>
        <sz val="11"/>
        <rFont val="Arial Narrow"/>
        <family val="2"/>
      </rPr>
      <t xml:space="preserve"> </t>
    </r>
    <r>
      <rPr>
        <b/>
        <sz val="11"/>
        <rFont val="Arial Narrow"/>
        <family val="2"/>
      </rPr>
      <t>Conclusiones:</t>
    </r>
    <r>
      <rPr>
        <sz val="10"/>
        <rFont val="Arial Narrow"/>
        <family val="2"/>
      </rPr>
      <t xml:space="preserve"> Esta hoja permite establecer el estado del Sistema de Control Interno evaluado, información a partir de la cual se definen las acciones de mejora correspondientes. Esta hoja será el informe para publicación en página web, o bien para ubicar en un lugar visible en la sede de la entidad (esto para aquellas que no cuentan con conectividad o página web en operación).</t>
    </r>
  </si>
  <si>
    <t>MEDICION ESTADO DEL SISTEMA DE CONTROL INTERNO EN LA ENTIDAD</t>
  </si>
  <si>
    <t xml:space="preserve">No. </t>
  </si>
  <si>
    <t>Literal</t>
  </si>
  <si>
    <t>Requerimiento asociado al componente</t>
  </si>
  <si>
    <t>Seguimiento al control (Si, No, En proceso)</t>
  </si>
  <si>
    <t>Evidencia de seguimiento al control
(Establezca actividades adelantadas de aplicación del documento o elemento antes identificado, esto cuando se responde SI o bien EN PROCESO</t>
  </si>
  <si>
    <t>Evaluación</t>
  </si>
  <si>
    <t>1</t>
  </si>
  <si>
    <t>AMBIENTE DE CONTROL</t>
  </si>
  <si>
    <t>El ambiente de control institucional está integrado por todas esas condiciones mínimas que debe garantizar cualquier entidad pública para el ejercicio del control interno. Para el caso de su entidad indique si se cuenta con:</t>
  </si>
  <si>
    <t>a</t>
  </si>
  <si>
    <t>Documento interno o adopción del MECI actualizado</t>
  </si>
  <si>
    <t>No</t>
  </si>
  <si>
    <t>b</t>
  </si>
  <si>
    <t>Un documento tal como un código de ética, integridad u otro que formalice los estándares de conducta, los principios institucionales o los valores del servicio público</t>
  </si>
  <si>
    <t>Si</t>
  </si>
  <si>
    <t>c</t>
  </si>
  <si>
    <t>Planes, programas y proyectos de acuerdo con las normas que rigen y atendiendo con su propósito fundamental institucional (misión)</t>
  </si>
  <si>
    <t>d</t>
  </si>
  <si>
    <t>Una estructura organizacional formalizada (organigrama)</t>
  </si>
  <si>
    <t>e</t>
  </si>
  <si>
    <t>Un manual de funciones que describa los empleos de la entidad</t>
  </si>
  <si>
    <t>f</t>
  </si>
  <si>
    <t>La documentación de sus procesos y procedimientos o bien una lista de actividades principales que permitan conocer el estado de su gestión</t>
  </si>
  <si>
    <t>g</t>
  </si>
  <si>
    <t>Vinculación de los servidores públicos de acuerdo con el marco normativo que les rige (carrera administrativa, libre nombramiento y remoción, entre otros)</t>
  </si>
  <si>
    <t>h</t>
  </si>
  <si>
    <t>Procesos de inducción, capacitación y bienestar social para sus servidores públicos, de manera directa o en asociación con otras entidades municipales</t>
  </si>
  <si>
    <t>i</t>
  </si>
  <si>
    <t>Evaluación a los servidores públicos de acuerdo con el marco normativo que le rige</t>
  </si>
  <si>
    <t>j</t>
  </si>
  <si>
    <t>Procesos de desvinculación de servidores de acuerdo con lo previsto en la Constitución Política y las leyes</t>
  </si>
  <si>
    <t>k</t>
  </si>
  <si>
    <t>Mecanismos de rendición de cuentas a la ciudadanía</t>
  </si>
  <si>
    <t>l</t>
  </si>
  <si>
    <t>Presentación oportuna de sus informes de gestión a las autoridades competentes</t>
  </si>
  <si>
    <t>2</t>
  </si>
  <si>
    <t>EVALUACION DEL RIESGO</t>
  </si>
  <si>
    <t>Toda entidad debe identificar, evaluar y gestionar eventos potenciales, tanto internos como externos, que puedan afectar el logro de los objetivos institucionales. Para el caso de su entidad indique si se cuenta con:</t>
  </si>
  <si>
    <t>Identificación de cambios en su entorno que pueden generar consecuencias negativas en su gestión</t>
  </si>
  <si>
    <t>Identificación de aquellos problemas o aspectos que pueden afectar el cumplimiento de los planes de la entidad y en general su gestión institucional (riesgos)</t>
  </si>
  <si>
    <t>Identificación  de los riesgos relacionados con posibles actos de corrupción en el ejercicio de sus funciones</t>
  </si>
  <si>
    <t>Si su capacidad e infraestructura lo permite, identificación de riesgos asociados a las tecnologías de la información y las comunicaciones</t>
  </si>
  <si>
    <t>3</t>
  </si>
  <si>
    <t>Los líderes de los programas, proyectos, o procesos de la entidad  junto con sus equipos de trabajo:</t>
  </si>
  <si>
    <t>Hacen seguimiento a los problemas (riesgos)  que pueden afectar el cumplimiento de sus procesos, programas o proyectos a cargo</t>
  </si>
  <si>
    <t>Informan de manera periódica a quien corresponda sobre el desempeño de las actividades de gestión de riesgos</t>
  </si>
  <si>
    <t>Identifican deficiencias en las maneras de  controlar los riesgos o problemas en sus procesos, programas o proyectos, y propone los ajustes necesarios</t>
  </si>
  <si>
    <t>4</t>
  </si>
  <si>
    <t>Para el manejo de los problemas que afectan el cumplimiento de las metas u objetivos institucionales (riesgos), el jefe de control interno o quien haga sus veces, ha podido evidenciar si en la entidad:</t>
  </si>
  <si>
    <t>Se definen espacios de reunión para conocerlos y proponer acciones para su solución</t>
  </si>
  <si>
    <t>Cada líder del equipo autónomamente toma las acciones para solucionarlos.</t>
  </si>
  <si>
    <t>En proceso</t>
  </si>
  <si>
    <t>Solamente hasta que un organismo de control actúa se definen acciones de mejora.</t>
  </si>
  <si>
    <t>5</t>
  </si>
  <si>
    <t>ACTIVIDADES DE CONTROL</t>
  </si>
  <si>
    <t>Una vez identificados los problemas que afectan el cumplimiento de los planes de la entidad o su gestión institucional, la entidad debe diseñar los controles o mecanismos para darles tratamiento. Para el caso de su entidad indique si se cuenta con:</t>
  </si>
  <si>
    <t>La definición de acciones o actividades para para dar tratamiento a los problemas identificados (mitigación de riesgos), incluyendo aquellos asociados a posibles actos de corrupción</t>
  </si>
  <si>
    <t>Mecanismos de verificación de si se están o no mitigando los riesgos, o en su defecto, elaboración de planes de contingencia para subsanar sus consecuencias</t>
  </si>
  <si>
    <t>Planes, acciones o estrategias que permitan subsanar las consecuencias de la materialización de los riesgos, cuando se presentan</t>
  </si>
  <si>
    <t>Un documento que consolide  los riesgos  y el tratamiento que se les da, incluyendo aquellos que conllevan posibles actos de corrupción y si la capacidad e infraestructura lo permite, los asociados con las tecnologías de la información y las comunicaciones</t>
  </si>
  <si>
    <t>Un plan anticorrupción y de servicio al ciudadano con los temas que le aplican, publicado en algún medio para conocimiento de la ciudadanía</t>
  </si>
  <si>
    <t>6</t>
  </si>
  <si>
    <t>INFORMACION Y COMUNICACIÓN</t>
  </si>
  <si>
    <t>Las entidades deben procurar, de acuerdo con sus propias capacidades internas, que la información y la comunicación que requiere para su gestión y  control interno fluya de manera clara.  Acorde con lo anterior, indique si se cuenta con:</t>
  </si>
  <si>
    <t>Responsables de la información institucional</t>
  </si>
  <si>
    <t>Canales de comunicación con los ciudadanos</t>
  </si>
  <si>
    <t>Canales de comunicación o mecanismos de reporte de información a otros organismos gubernamentales o de control</t>
  </si>
  <si>
    <t xml:space="preserve">Lineamientos para dar tratamiento a la información de carácter reservado </t>
  </si>
  <si>
    <t>Identificación de información que produce en el marco de su gestión (Para los ciudadanos, organismos de control, organismos gubernamentales, entre otros)</t>
  </si>
  <si>
    <t>Identificación de información necesaria para la operación de la entidad (normograma, presupuesto, talento humano, infraestructura física y tecnológica)</t>
  </si>
  <si>
    <t>Si su capacidad e infraestructura lo permite, tecnologías de la información y las comunicaciones que soporten estos procesos</t>
  </si>
  <si>
    <t>7</t>
  </si>
  <si>
    <t>ACTIVIDADES DE MONITOREO</t>
  </si>
  <si>
    <t>Las entidades deben valorar: la eficiencia y eficacia de su gestión y la efectividad del control interno de la entidad pública con el propósito de detectar desviaciones y generar recomendaciones para la mejora. Para el caso de su entidad indique si se cuenta con:</t>
  </si>
  <si>
    <t>Mecanismos de evaluación de la gestión (cronogramas, indicadores, listas de chequeo u otros)</t>
  </si>
  <si>
    <t>Algún mecanismo para monitorear o supervisar el sistema de control interno institucional, ya sea por parte del representante legal, o del área de control interno (si la entidad cuenta con ella), o bien a través del Comité departamental o municipal de Auditoría.</t>
  </si>
  <si>
    <t>Medidas correctivas en caso de detectarse deficiencias en los ejercicios de evaluación, seguimiento o auditoría</t>
  </si>
  <si>
    <t>Seguimiento a los planes de mejoramiento suscritos con instancias de control internas o externas</t>
  </si>
  <si>
    <t>8</t>
  </si>
  <si>
    <t>¿La entidad ha solicitado hacer parte del Comité Municipal de Auditoría, a efectos de contar con un escenario para compartir buenas prácticas en materia de control interno, así como analizar la viabilidad de contar como mínimo con un proceso auditor en la vigencia?</t>
  </si>
  <si>
    <t>La entidad participa en el  Comité Municipal de Auditoría?</t>
  </si>
  <si>
    <t>9</t>
  </si>
  <si>
    <t>El jefe de control interno o quien haga sus veces, ha podido evidenciar si en la entidad el manejo que se ha hecho a los problemas que afectan el cumplimiento de sus metas y objetivos (riesgos) le ha permitido:</t>
  </si>
  <si>
    <t>Evitar que los problemas (riesgos) obstaculicen el cumplimiento de los objetivos.</t>
  </si>
  <si>
    <t>Controlar los puntos críticos en los procesos.</t>
  </si>
  <si>
    <t>Diseñar acciones adecuadas para controlar los problemas que afectan el cumplimiento de las metas y objetivos institucionales (riesgos).</t>
  </si>
  <si>
    <t>Ejecutar las acciones de acuerdo a como se diseñaron previamente.</t>
  </si>
  <si>
    <t>No se gestionan los problemas que afectan el cumplimiento de las funciones y objetivos institucionales(riesgos).</t>
  </si>
  <si>
    <t>ANÁLISIS DE RESULTADOS PARA LA TOMA DE DECISIONES</t>
  </si>
  <si>
    <t>Se encuentra en proceso, pero requiere continuar con acciones dirigidas a contar con dicho aspecto de control.</t>
  </si>
  <si>
    <t>Se encuentra presente  y funcionando, pero requiere mejoras frente a su diseño, ya que  opera de manera efectiva</t>
  </si>
  <si>
    <t>No se encuentra el aspecto  por lo tanto la entidad debera generar acciones dirigidas a que se cumpla con el requerimiento.</t>
  </si>
  <si>
    <t>RESULTADOS</t>
  </si>
  <si>
    <t>FUENTE DEL ANALISIS</t>
  </si>
  <si>
    <t xml:space="preserve">Seguimiento al control </t>
  </si>
  <si>
    <t>OBSERVACIONES DEL CONTROL</t>
  </si>
  <si>
    <t>NIVEL DE CUMPLIMIENTO-ASPECTOS PARTICULARES POR COMPONENTE</t>
  </si>
  <si>
    <t>NIVEL DE CUMPLIMIENTO COMPONENTE</t>
  </si>
  <si>
    <t>componente</t>
  </si>
  <si>
    <t>Nombre de la Entidad:</t>
  </si>
  <si>
    <t>Periodo Evaluado:</t>
  </si>
  <si>
    <t>Estado del sistema de Control Interno de la entidad</t>
  </si>
  <si>
    <t>Conclusión general sobre la evaluación del Sistema de Control Interno</t>
  </si>
  <si>
    <t>¿Están todos los componentes operando juntos y de manera integrada? (Si / en proceso / No) (Justifique su respuesta):</t>
  </si>
  <si>
    <t>¿Es efectivo el sistema de control interno para los objetivos evaluados? (Si/No) (Justifique su respuesta):</t>
  </si>
  <si>
    <t>La entidad cuenta dentro de su Sistema de Control Interno, con una institucionalidad (Líneas de defensa)  que le permita la toma de decisiones frente al control (Si/No) (Justifique su respuesta):</t>
  </si>
  <si>
    <t>Componente</t>
  </si>
  <si>
    <t>¿se esta cumpliendo los requerimientos ?</t>
  </si>
  <si>
    <t>Nivel de Cumplimiento componente</t>
  </si>
  <si>
    <r>
      <rPr>
        <b/>
        <u/>
        <sz val="20"/>
        <color theme="0"/>
        <rFont val="Arial"/>
        <family val="2"/>
      </rPr>
      <t xml:space="preserve"> Estado actual:</t>
    </r>
    <r>
      <rPr>
        <b/>
        <sz val="20"/>
        <color theme="0"/>
        <rFont val="Arial"/>
        <family val="2"/>
      </rPr>
      <t xml:space="preserve"> Explicacion de las Debilidades y/o Fortalezas encontradas en cada componente</t>
    </r>
  </si>
  <si>
    <t>EVALUCION DEL RIESGO</t>
  </si>
  <si>
    <t>ACTIVIDADES DEL CONTROL</t>
  </si>
  <si>
    <t xml:space="preserve">ACTIVIDADES DE MONITOREO </t>
  </si>
  <si>
    <t xml:space="preserve">Evaluación </t>
  </si>
  <si>
    <t>Puntaje</t>
  </si>
  <si>
    <t xml:space="preserve">Orden </t>
  </si>
  <si>
    <t>Nivel de cumplimiento -Aaspectos particulares por componente</t>
  </si>
  <si>
    <t xml:space="preserve">Promedios </t>
  </si>
  <si>
    <t>1a</t>
  </si>
  <si>
    <t>1b</t>
  </si>
  <si>
    <t>1c</t>
  </si>
  <si>
    <t>1d</t>
  </si>
  <si>
    <t>1e</t>
  </si>
  <si>
    <t>1f</t>
  </si>
  <si>
    <t>1g</t>
  </si>
  <si>
    <t>1h</t>
  </si>
  <si>
    <t>1i</t>
  </si>
  <si>
    <t>1j</t>
  </si>
  <si>
    <t>1k</t>
  </si>
  <si>
    <t>1l</t>
  </si>
  <si>
    <t>2a</t>
  </si>
  <si>
    <t>La identificación de cambios en su entorno que pueden generar consecuencias negativas en su gestión</t>
  </si>
  <si>
    <t>2b</t>
  </si>
  <si>
    <t>La identificación de aquellos problemas o aspectos que pueden afectar el cumplimiento de los planes de la entidad y en general su gestión institucional (riesgos)</t>
  </si>
  <si>
    <t>2c</t>
  </si>
  <si>
    <t>La identificación  de los riesgos relacionados con posibles actos de corrupción en el ejercicio de sus funciones</t>
  </si>
  <si>
    <t>2d</t>
  </si>
  <si>
    <t>3a</t>
  </si>
  <si>
    <t>3b</t>
  </si>
  <si>
    <t>3c</t>
  </si>
  <si>
    <t>4a</t>
  </si>
  <si>
    <t>4b</t>
  </si>
  <si>
    <t>4c</t>
  </si>
  <si>
    <t>5a</t>
  </si>
  <si>
    <t>5b</t>
  </si>
  <si>
    <t>5c</t>
  </si>
  <si>
    <t>5d</t>
  </si>
  <si>
    <t>5e</t>
  </si>
  <si>
    <t>6a</t>
  </si>
  <si>
    <t>6b</t>
  </si>
  <si>
    <t>6c</t>
  </si>
  <si>
    <t>6d</t>
  </si>
  <si>
    <t>6e</t>
  </si>
  <si>
    <t>El jefe de control interno o quien haga sus veces, ha podido evidenciar si en la entidad si el manejo que se ha hecho a los problemas que afectan el cumplimiento de sus metas y objetivos (riesgos) le ha permitido:</t>
  </si>
  <si>
    <t>6f</t>
  </si>
  <si>
    <t>6g</t>
  </si>
  <si>
    <t>7a</t>
  </si>
  <si>
    <t>7d</t>
  </si>
  <si>
    <t>7f</t>
  </si>
  <si>
    <t>7g</t>
  </si>
  <si>
    <t>8h</t>
  </si>
  <si>
    <t>9a</t>
  </si>
  <si>
    <t>9b</t>
  </si>
  <si>
    <t>9c</t>
  </si>
  <si>
    <t>9d</t>
  </si>
  <si>
    <t>9e</t>
  </si>
  <si>
    <t xml:space="preserve">RESOLUCIÓN 064 DEL 03 DE MAYO DE 2021, “Por la cual se modifica la “Resolución 108 del 2018 por la cual se adopta Manual Específico de Funciones y Competencias Laborales de la planta de empleos de la Personería Municipal de Pereira”NIVEL DIRECTIVO
Personero Municipal 015
NIVEL ASESOR
ÍNDICE
PLANTA DEL DESPACHO
Asesor 105-01
Control Interno
Planeación, Gestión de Proyectos e Investigación Administrativa y Financiera
Jurídica y Talento Humano
NIVEL ASISTENCIAL
Secretario Ejecutivo 425-05
NIVEL DIRECTIVO
Personero Delegado 040-01
-Personería Delegada en Medio Ambiente y Urbanismo
-Personería Delegada para la Vigilancia Administrativa
-Personería Delegada para los DDHH, Penitenciario y Vigilancia Judicial
-Personería Delegada en Salud, Educación y Movilidad
-Personería Delegada en Seguridad Ciudadana, Convivencia y Posacuerdo
-Personería Delegada en Derecho De Petición, Contratación Estatal y Servicios Públicos -Personería Delegada para la Mujer, Niños, Niñas, Adolescentes, Adulto Mayor y Población Vulnerable
NIVEL PROFESIONAL
Profesional Universitario 219- 02
-Área Funcional – Todas las dependencias
NIVEL TÉCNICO
Técnico Operativo 314-02 Técnico Operativo 314-01
-Área Funcional – Todas las dependencias
NIVEL ASISTENCIAL
Conductor 480-04
Conductor 480-02
Auxiliar Administrativo 407-01 Secretario 440-03
-Área Funcional – Todas las dependencias
PLANTA GLOBAL  </t>
  </si>
  <si>
    <t>PERSONERÍA DE PEREIRA</t>
  </si>
  <si>
    <t>https://www.personeriapereira.gov.co/es/ipaginas/ver/G2/143/politica-de-proteccion-de-datos-personales/</t>
  </si>
  <si>
    <t>PÁGINA WEB, CORRESPONDENCIA.</t>
  </si>
  <si>
    <t>ACTUALMENTE SE CUENTA CON PLANES DE MEJORAMIENTO, PRODUCTO DE AUTODIAGNOSTICO Y SE ESTAN REALIZANDO AUDITORIAS INTERNAS DE GESTIÓN.</t>
  </si>
  <si>
    <t>Se evidencia la estructura del Sistema donde se identifican los procesos y su interconexión, para garantizar el cumplimiento de los objetivos institucionales, adicionalmente se evidencia que funcionan de forma integrada y permiten a la Personería de Pereira alinear el Sistema de Planeación y Gestión y el Sistema de Control Interno para la consecución de los objetivos estratégicos y las actividades de gestión de la entidad.</t>
  </si>
  <si>
    <t>El Sistema de Control Interno está estructurado conforme al cumplimiento del MECI, y a la evaluación del cumplimiento de los objetivos propuestos. Se evidencia el constante monitoreo que permite a la entidad el análisis que permiten identificar mejoras en los procesos y así mismo alcanzar los objetivos establecidos.</t>
  </si>
  <si>
    <t xml:space="preserve"> La Entidad tiene implementado MECI, mediante su manual MECI:2014 que tiene como objetivo establecer para las entidades del Estado  una estructura para el control a la estrategia, la gestión y la evaluación en las entidades del Estado, cuyo propósito es orientarlas hacia el cumplimiento de sus objetivos institucionales </t>
  </si>
  <si>
    <t>La entidad cuenta con un Código de Integridad, también cuenta con riesgos del Plan anticorrupción, a los cuales se les hace seguimiento por parte de la oficina de Control Interno. La entidad cuenta con canales de recepción de denuncias, a las cuales se les da tratamiento conforme a lo indicado en el procedimiento (RESOLUCIÓN 105 DE L 3 DE MAYO DEL 2024).
La Entidad cuenta con seguimientos realizados a la Planeación Estratégica y al Plan de Acción Institucional, también cuenta con el Plan Estratégico del Talento Humano.
Se realizan reportes financieros que son socializados a la alta dirección, los cuales son analizados para la toma de decisiones.
A través del Comité Institucional de Coordinación de Control Interno en Acta No. El 1 del 27 de mayo de 2024 se aprobó el Plan Anual de Auditorias presentado por la Oficina de Control Interno para la vigencia 2024. Se han iniciado dos para este primer semestre auditorías, se han realizado seguimientos y evaluaciones que han permitido identificar mejoras institucionales</t>
  </si>
  <si>
    <t>La entidad ha establecido el Plan Estratégico y el Plan de Acción Institucional para la vigencia 2024, en donde se identifican indicadores, responsables, metas y se realiza seguimiento de forma mensual  para identificar los avances o mejoras.
Se han identificado los riesgos de corrupción a los cuales se les realiza seguimiento por parte de la de la oficina de Control Interno. Actualmente se tiene establecido un manual de funciones con la segregación de funciones para cada una de las dependencias.</t>
  </si>
  <si>
    <t>Actualmente se tiene establecido un manual de funciones y procedimientos internos con la segregación de funciones para cada una de las dependencias.
Se evidencia articulación entre planeación y Control Interno, para el primer semestre se realizaron evaluaciones e iniciado dos auditorias que permiten fortalecer los controles e identificar las mejoras necesarias.</t>
  </si>
  <si>
    <t>SE EJECUTAN LAS ACCIONES, SE REALIZA SEGUIMIENTO POR PARTE DE LA OFICINA DE CONTROL INTERNO.</t>
  </si>
  <si>
    <t xml:space="preserve">
Se evidencia en la página web  de la personería de Pereira.
Cada delegado (a), asesores y personero (a) suministran la información al equipo de comunicaciones para publicar de la información en la página web.
Se evidencia canales de comunicación: página web, Instagram, Facebook, correo electrónico(atención al usuario), WhatsApp.
se evidencia publicación de lineamientos para dar tratamiento a la información de carácter reservado </t>
  </si>
  <si>
    <t xml:space="preserve">A través del Comité Institucional de Coordinación de Control Interno en Acta No. 1 del 27 de mayo de 2024 se aprobó el Plan Anual de Auditorias presentado por la Oficina de Control Interno para la vigencia 2024.
Conforme a lo establecido en el Plan Anual de Auditorías se inició auditorías internas al proceso de Planeación y a la delegada de Derechos de Petición, contratación y servicios públicos.
Se realizo autodiagnóstico del MECI,se solicitó en el primer semestre planes de mejoramiento, para garantizar el cumplimiento de las actividades planeadas y validar la eficacia. </t>
  </si>
  <si>
    <t>SE CUENTA CON PLANES DE ACCIÓN DE CADA DELEGADA DE LA PERSONERÍA DE PEREIRA, CON SU RESPECTIVO SEGUIMIENTO MENSUAL.</t>
  </si>
  <si>
    <t>SE CUENTA CON ORGANIGRAMA DE LA ENTIDAD, ESTA PUBLICADO EN LA PÁGINA WEB.</t>
  </si>
  <si>
    <t>SE CUENTA CON ORGANIGRAMA DE LA ENTIDAD, ESTA PUBLICADO EN LA PÁGINA WEB, DE ACUERDO A ELLO SE ELABORAN LOS PLANES DE ACCIÓN CON ACCIONES QUE PERMITEN CONOCER EL ESTADO DE GESTIÓN DE LA PERSONERÍA DE PEREIRA.</t>
  </si>
  <si>
    <t>LA VINCULACIÓN DE LOS SERVIDORES PÚBLICOS DE ACUERDO AL NARCO NORMATIVO CUENTA CON LA RESOLUCIÓN DE NOMBRAMIENTO, LOS SOPORTES DE LOS REQUISITOS DE CADA CARGO Y REPOSAN LAS HOJAS DE VIDA EN TALENTO HUMANO.</t>
  </si>
  <si>
    <t>SE CUENTA CON EL PROCESO DE DESVINCULACIÓN DE LA ENTIDAD (SE REALIZA MEDIANTE RESOLUCIÓN DE RETIRO, SE SOLICITA INFORME DE ENTREGA, SE SOLICITA PAZ Y SALVO Y EXAMEN DE SALUD OCUPACIONAL DE RETIRO) TODO REPOSA EN LAS HOJAS DE VIDA</t>
  </si>
  <si>
    <t>RESOLUCIÓN NO. 096 DEL 23 DE ABRIL DE 2024
POR MEDIO DE LA CUAL SE ACTUALIZA EL SISTEMA DE CONTROL INTERNO EN LA PERSONERÍA DEL MUNICIPIO DE PEREIRA</t>
  </si>
  <si>
    <t>SE CUENTA CON EL PLAN ANTICORRUPCIÓN, EN SU COMPONENTE NÚMERO 2 ESTÁ LA RENDICIÓN DE CUENTAS DE LA ENTIDAD. TAMBIÉN SE RINDE INFORME ANTE EL CONCEJO MUNICIPAL, LOS INFORMES DE GESTIÓN SE ENCUENTRAN PUBLICADOS EN LA PÁGINA WEB DE LA ENTIDAD.</t>
  </si>
  <si>
    <t>SE CUENTA CON MAPA DE RIESGOS ANTICORRUPCIÓN, DONDE SE DETECTA DEFICIENCIAS Y POSIBLES ERRORES, SE IMPLEMENTAN ACCIONES PARA MITIGAR LOS RIESGOS, ACTUALMENTE SE ESTÁ IMPLEMENTANDO MAPA DE RIESGOS INSTITUCIONAL</t>
  </si>
  <si>
    <t>ACTUALMENTE SE IMPLEMENTANDO LOS RIESGOS DE GESTIÓN, SOLO SE CUENTA CON RIESGOS ANTICORRUPCIÓN.</t>
  </si>
  <si>
    <t>ACTUALMENTE SE IMPLEMENTANDO ACCIONES DE MEJORA EN ALGUNOS PROCESOS Y SE ENCUENTRA REALIZANDO AUDITORÍAS INTERNAS DE GESTIÓN Y AUDITORIA DE LA CONTRALORÍA.</t>
  </si>
  <si>
    <t>SE CUENTA CON LA IMPLEMENTACIÓN DE PLAN DE MEJORAMIENTO, HASTA LA FECHA NO SE HA MATERIALIZADO NINGÚN RIESGO.</t>
  </si>
  <si>
    <t>RESOLUCIÓN NO. 101 DEL 30 DE ABRIL DE 2024
POR MEDIO DEL CUAL SE CREA EL COMITÉ DE COORDINACIÓN DEL SISTEMA DE CONTROL INTERNO DE LA PERSONERÍA DE PEREIRA.</t>
  </si>
  <si>
    <t>SE TIENE BORRADOR DEL CÓDIGO DE INTEGRIDAD DE LA PERSONERÍA DE PEREIRA. SE ENCUENTRA EN REVISIÓN</t>
  </si>
  <si>
    <t>EN VIRTUD A LA CONVOCATORIA DE LA CNSC SE VIENE HACIENDO UNA INDUCCIÓN INDIVIDUAL AL PERSONAL QUE INGRESA SE HARÁ UNA UNA REINDUCCIÓN A TODO EL PERSONAL CUANDO YA ESTÉ VINCULADO</t>
  </si>
  <si>
    <t>LOS FUNCIONARIOS PÚBLICOS DE CARRERA ADMINISTRATIVA ESTÁN REGISTRADOS Y EVALUADOS MEDIANTE EL APLICATIVO EDL. (EN EL MOMENTO HAY 8 FUNCIONARIOS DE CARRERA ADMINISTRATIVA Y ESTÁN INGRESANDO LOS FUNCIONARIOS QUE POR MÉRITO GANARON EL CONCURSO DE LA COMISIÓN NACIONAL DEL SERVICIO CIVIL)</t>
  </si>
  <si>
    <t>SE PRESENTARON LA RENDICIÓN DE LA CUENTA VIGENCIA 2023 A SIA CONTRALORÍA, SE PRESENTAN INFORMES DE GESTIÓN CADA QUE LO REQUIERE EL CONCEJO MUNICIPAL, SE TIENE PUBLICADOS LOS INFORMES DE GESTIÓN DE LA PERSONERÍA DE PEREIRA HASTA DICIEMBRE DE 2024.</t>
  </si>
  <si>
    <t>SE IDENTIFICAN CAMBIOS EN EL ENTORNO, POR EL CAMBIO DE PERSONAL DE LA ENTIDAD, PARA ELLO SE IMPLEMENTARON INFORMES DE GESTIÓN Y DE ENTREGA DEL CARGO, PARA DAR CONTINUIDAD A LA GESTIÓN.</t>
  </si>
  <si>
    <t>SE CUENTA CON MAPA DE RIESGOS ANTICORRUPCIÓN, DONDE SE DETECTA DEFICIENCIAS Y POSIBLES ERRORES, SE IMPLEMENTAN ACCIONES PARA MITIGAR LOS RIESGOS, ACTUALMENTE SE ESTÁ ACTUALIZANDO EL MAPA DE RIESGOS INSTITUCIONAL DE ACUERDO AL PROGRAMA DE TRANSPARENCIA Y ÉTICA PÚBLICA</t>
  </si>
  <si>
    <t>SE SOLICITA MEJORAR LA PLANTA DE INFRAESTRUCTURA, YA QUE, SE ENCUENTRA OBSOLETA, POSIBLES RIESGOS DE PERDIDA DE INFORMACIÓN, SE SUGIERE SALVAGUARDAR LA INFORMACIÓN DE LA ENTIDAD. SE HAN IDO ACTUALIZANDO ALGUNOS EQUIPOS</t>
  </si>
  <si>
    <t>SE CUENTA CON MAPA DE RIESGOS ANTICORRUPCIÓN, DONDE SE DETECTA DEFICIENCIAS Y POSIBLES ERRORES, SE IMPLEMENTAN ACCIONES PARA MITIGAR LOS RIESGOS, ACTUALMENTE SE ESTÁ ACTUALIZANDO EL MAPA DE RIESGOS INSTITUCIONAL</t>
  </si>
  <si>
    <t>SE CUENTA CON MAPA DE RIESGOS ANTICORRUPCIÓN, DONDE SE DETECTA DEFICIENCIAS Y POSIBLES ERRORES, SE IMPLEMENTAN ACCIONES PARA MITIGAR LOS RIESGOS, ACTUALMENTE SE ESTÁ ACTUALIZANDO EL MAPA DE RIESGOS INSTITUCIONAL.</t>
  </si>
  <si>
    <t>SE CUENTA CON MAPA DE RIESGOS ANTICORRUPCIÓN, DONDE SE DETECTA DEFICIENCIAS Y POSIBLES ERRORES, SE IMPLEMENTAN ACCIONES PARA MITIGAR LOS RIESGOS, ACTUALMENTE SE ESTÁ ACTUALIZANDO MAPA DE RIESGOS INSTITUCIONAL.</t>
  </si>
  <si>
    <t>SE CUENTA CON MAPA DE RIESGOS ANTICORRUPCIÓN, DONDE SE DETECTA DEFICIENCIAS Y POSIBLES ERRORES, SE IMPLEMENTAN ACCIONES PARA MITIGAR LOS RIESGOS. SE CUENTA CON EL DOCUMENTO Y ESTA PÚBLICADO EN LA PÁGINA WEB.</t>
  </si>
  <si>
    <t>SE CUENTA CON EL PLAN ANTICORRUPCIÓN VIGENCIA 2024. SE ENCUENTRA PÚBLICADO EN PÁGINA WEB. PERO SE ESTÁ AJUSTANDO CONFORME AL PROGRAMA DE TRANSPARENCIA Y ÉTICA PÚBLICA</t>
  </si>
  <si>
    <t>LOS REPONSABLES SON CADA DELEGADO (A), ASESORES Y PERSONERO LOS CUALES SUMINISTRAN LA INFORMACIÓN AL EQUIPO DE COMUNICACIONES PARA PUBLICAR LA INFORMACIÓN.</t>
  </si>
  <si>
    <t>LOS CANALES DE COMUNICACIÓN DE LA ENTIDAD SON: PÁGINA WEB, INSTAGRAM, FACEBOOK, CORREO ELECTRÓNICO (ATENCIÓN AL USUARIO).</t>
  </si>
  <si>
    <t>RECEPCIÓN DE BASE DE DATOS, ENCUESTAS DE SATISFACCIÓN</t>
  </si>
  <si>
    <t>SE SOLICITA LA INFORMACIÓN A CADA PROCESO RESPONSABLE   (PLANEACIÓN, PRESUPUESTO, TALENTO HUMANO Y JURIDICA) ACTUALMENTE SE TIENE EN REVISIÓN EL PROGRA DE TRANSPARENCIA Y ÉTICA PÚBLICA.</t>
  </si>
  <si>
    <t>HAY CAPACIDAD PARA LA  PÁGINA WEB, INSTAGRAM, FACEBOOK, CORREO ELECTONICO (ATENCIÓN AL USUARIO).</t>
  </si>
  <si>
    <t>LOS PLANES DE ACCIÓN PARA LA VIGENCIA 2025, CUENTAN CON INDICADORES, ACTIVIDADES Y ACCIONES CLARAS CON FECHAS DE CUMPLIMIENTO.</t>
  </si>
  <si>
    <t>EN EL MES DE ABRIL 2024 SE REALIZO POR MEDIO DE AUTODIAGNOSTICO EL ESTADO DE CONTROL INTERNO, SE ACTUALIZO TODO EL SISTEMA, TAMBIEN SE CUENTA CON EL COMITÉ INSTITUCIONAL DE CONTROL INTERNO QUE SE REUNIO EN ENERO DE 2025</t>
  </si>
  <si>
    <t>SE CUENTA CON MAPA DE RIESGOS ANTICORRUPCIÓN, EL CUAL CONTIENE ACCIONES PARA EVITAR OBSTACULOS EN EL CUMPLIMIENTO DE LOS OBJETIVOS INSTITUCIONALES. SE ESTÁ ACTUALIZANDO.</t>
  </si>
  <si>
    <t>EN EL SEGUNDO SEMESTRE DE LA VIGENCIA 2024 NO SE HA MATERIALIZADO NINGÚN RIESGO.</t>
  </si>
  <si>
    <t>01 DE JULIO AL 31 DE DICIEMBRE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</si>
</sst>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8" x14ac:knownFonts="1">
    <font>
      <sz val="11"/>
      <color theme="1"/>
      <name val="Calibri"/>
      <family val="2"/>
      <scheme val="minor"/>
    </font>
    <font>
      <sz val="11"/>
      <name val="Arial"/>
      <family val="2"/>
    </font>
    <font>
      <b/>
      <sz val="12"/>
      <name val="Arial"/>
      <family val="2"/>
    </font>
    <font>
      <sz val="11"/>
      <color theme="1"/>
      <name val="Calibri"/>
      <family val="2"/>
      <scheme val="minor"/>
    </font>
    <font>
      <sz val="11"/>
      <color theme="0"/>
      <name val="Calibri"/>
      <family val="2"/>
      <scheme val="minor"/>
    </font>
    <font>
      <b/>
      <sz val="12"/>
      <color theme="0"/>
      <name val="Arial"/>
      <family val="2"/>
    </font>
    <font>
      <b/>
      <sz val="20"/>
      <color theme="0"/>
      <name val="Arial Narrow"/>
      <family val="2"/>
    </font>
    <font>
      <sz val="11"/>
      <color theme="1"/>
      <name val="Arial Narrow"/>
      <family val="2"/>
    </font>
    <font>
      <sz val="11"/>
      <color theme="0"/>
      <name val="Arial Narrow"/>
      <family val="2"/>
    </font>
    <font>
      <b/>
      <sz val="18"/>
      <color theme="0"/>
      <name val="Arial"/>
      <family val="2"/>
    </font>
    <font>
      <sz val="20"/>
      <color rgb="FFFF0000"/>
      <name val="Arial"/>
      <family val="2"/>
    </font>
    <font>
      <b/>
      <sz val="12"/>
      <color rgb="FFFF0000"/>
      <name val="Arial"/>
      <family val="2"/>
    </font>
    <font>
      <b/>
      <sz val="10"/>
      <color rgb="FFFF0000"/>
      <name val="Arial"/>
      <family val="2"/>
    </font>
    <font>
      <b/>
      <sz val="10"/>
      <color theme="1"/>
      <name val="Arial"/>
      <family val="2"/>
    </font>
    <font>
      <b/>
      <sz val="16"/>
      <color theme="1"/>
      <name val="Arial"/>
      <family val="2"/>
    </font>
    <font>
      <b/>
      <i/>
      <sz val="10"/>
      <name val="Arial"/>
      <family val="2"/>
    </font>
    <font>
      <b/>
      <i/>
      <sz val="10"/>
      <color theme="1"/>
      <name val="Arial"/>
      <family val="2"/>
    </font>
    <font>
      <b/>
      <sz val="16"/>
      <color theme="0"/>
      <name val="Arial Narrow"/>
      <family val="2"/>
    </font>
    <font>
      <b/>
      <sz val="12"/>
      <color theme="0"/>
      <name val="Arial Narrow"/>
      <family val="2"/>
    </font>
    <font>
      <b/>
      <sz val="10"/>
      <color theme="0"/>
      <name val="Arial Narrow"/>
      <family val="2"/>
    </font>
    <font>
      <sz val="12"/>
      <color theme="1"/>
      <name val="Arial"/>
      <family val="2"/>
    </font>
    <font>
      <sz val="10"/>
      <color theme="1"/>
      <name val="Calibri"/>
      <family val="2"/>
      <scheme val="minor"/>
    </font>
    <font>
      <sz val="10"/>
      <color theme="0"/>
      <name val="Arial Narrow"/>
      <family val="2"/>
    </font>
    <font>
      <sz val="14"/>
      <color theme="0"/>
      <name val="Arial"/>
      <family val="2"/>
    </font>
    <font>
      <sz val="10"/>
      <color theme="1"/>
      <name val="Arial Narrow"/>
      <family val="2"/>
    </font>
    <font>
      <b/>
      <sz val="11"/>
      <name val="Arial Narrow"/>
      <family val="2"/>
    </font>
    <font>
      <sz val="10"/>
      <name val="Arial Narrow"/>
      <family val="2"/>
    </font>
    <font>
      <sz val="16"/>
      <color theme="0"/>
      <name val="Calibri"/>
      <family val="2"/>
      <scheme val="minor"/>
    </font>
    <font>
      <b/>
      <sz val="18"/>
      <name val="Calibri"/>
      <family val="2"/>
      <scheme val="minor"/>
    </font>
    <font>
      <sz val="10"/>
      <name val="Arial"/>
      <family val="2"/>
    </font>
    <font>
      <b/>
      <sz val="14"/>
      <name val="Arial Narrow"/>
      <family val="2"/>
    </font>
    <font>
      <b/>
      <u/>
      <sz val="11"/>
      <name val="Arial Narrow"/>
      <family val="2"/>
    </font>
    <font>
      <b/>
      <sz val="10"/>
      <name val="Arial Narrow"/>
      <family val="2"/>
    </font>
    <font>
      <sz val="12"/>
      <name val="Times New Roman"/>
      <family val="1"/>
    </font>
    <font>
      <b/>
      <sz val="9"/>
      <name val="Arial Narrow"/>
      <family val="2"/>
    </font>
    <font>
      <sz val="9"/>
      <name val="Arial Narrow"/>
      <family val="2"/>
    </font>
    <font>
      <sz val="11"/>
      <name val="Arial Narrow"/>
      <family val="2"/>
    </font>
    <font>
      <b/>
      <sz val="10"/>
      <color theme="1"/>
      <name val="Arial Narrow"/>
      <family val="2"/>
    </font>
    <font>
      <sz val="15"/>
      <name val="Arial Narrow"/>
      <family val="2"/>
    </font>
    <font>
      <sz val="15"/>
      <color theme="1"/>
      <name val="Arial Narrow"/>
      <family val="2"/>
    </font>
    <font>
      <sz val="8"/>
      <name val="Calibri"/>
      <family val="2"/>
      <scheme val="minor"/>
    </font>
    <font>
      <b/>
      <sz val="18"/>
      <color theme="1"/>
      <name val="Calibri"/>
      <family val="2"/>
      <scheme val="minor"/>
    </font>
    <font>
      <b/>
      <sz val="20"/>
      <name val="Arial"/>
      <family val="2"/>
    </font>
    <font>
      <sz val="18"/>
      <name val="Arial Narrow"/>
      <family val="2"/>
    </font>
    <font>
      <sz val="12"/>
      <color theme="0"/>
      <name val="Arial Narrow"/>
      <family val="2"/>
    </font>
    <font>
      <b/>
      <sz val="14"/>
      <color theme="0"/>
      <name val="Arial Narrow"/>
      <family val="2"/>
    </font>
    <font>
      <sz val="12"/>
      <name val="Arial Narrow"/>
      <family val="2"/>
    </font>
    <font>
      <sz val="12"/>
      <color theme="1"/>
      <name val="Arial Narrow"/>
      <family val="2"/>
    </font>
    <font>
      <sz val="14"/>
      <color theme="1"/>
      <name val="Calibri"/>
      <family val="2"/>
      <scheme val="minor"/>
    </font>
    <font>
      <b/>
      <sz val="14"/>
      <name val="Arial"/>
      <family val="2"/>
    </font>
    <font>
      <sz val="18"/>
      <color theme="1"/>
      <name val="Arial"/>
      <family val="2"/>
    </font>
    <font>
      <b/>
      <sz val="24"/>
      <color theme="0"/>
      <name val="Arial Narrow"/>
      <family val="2"/>
    </font>
    <font>
      <b/>
      <sz val="20"/>
      <color theme="0"/>
      <name val="Arial"/>
      <family val="2"/>
    </font>
    <font>
      <sz val="20"/>
      <color theme="1"/>
      <name val="Calibri"/>
      <family val="2"/>
      <scheme val="minor"/>
    </font>
    <font>
      <b/>
      <u/>
      <sz val="20"/>
      <color theme="0"/>
      <name val="Arial"/>
      <family val="2"/>
    </font>
    <font>
      <sz val="25"/>
      <color theme="1"/>
      <name val="Calibri"/>
      <family val="2"/>
      <scheme val="minor"/>
    </font>
    <font>
      <sz val="25"/>
      <color theme="1"/>
      <name val="Arial Narrow"/>
      <family val="2"/>
    </font>
    <font>
      <sz val="12"/>
      <name val="Arial"/>
      <family val="2"/>
    </font>
  </fonts>
  <fills count="17">
    <fill>
      <patternFill patternType="none"/>
    </fill>
    <fill>
      <patternFill patternType="gray125"/>
    </fill>
    <fill>
      <patternFill patternType="solid">
        <fgColor theme="3" tint="0.39997558519241921"/>
        <bgColor indexed="64"/>
      </patternFill>
    </fill>
    <fill>
      <patternFill patternType="solid">
        <fgColor theme="3" tint="0.59999389629810485"/>
        <bgColor indexed="64"/>
      </patternFill>
    </fill>
    <fill>
      <patternFill patternType="solid">
        <fgColor theme="0"/>
        <bgColor indexed="64"/>
      </patternFill>
    </fill>
    <fill>
      <patternFill patternType="solid">
        <fgColor theme="4"/>
        <bgColor indexed="64"/>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
      <patternFill patternType="solid">
        <fgColor theme="5" tint="-0.249977111117893"/>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4" tint="-0.249977111117893"/>
        <bgColor indexed="64"/>
      </patternFill>
    </fill>
    <fill>
      <patternFill patternType="solid">
        <fgColor rgb="FFFFCC00"/>
        <bgColor indexed="64"/>
      </patternFill>
    </fill>
    <fill>
      <patternFill patternType="solid">
        <fgColor rgb="FF00B050"/>
        <bgColor indexed="64"/>
      </patternFill>
    </fill>
    <fill>
      <patternFill patternType="solid">
        <fgColor rgb="FF83A343"/>
        <bgColor indexed="64"/>
      </patternFill>
    </fill>
    <fill>
      <patternFill patternType="solid">
        <fgColor theme="9" tint="0.39997558519241921"/>
        <bgColor indexed="64"/>
      </patternFill>
    </fill>
  </fills>
  <borders count="97">
    <border>
      <left/>
      <right/>
      <top/>
      <bottom/>
      <diagonal/>
    </border>
    <border>
      <left/>
      <right/>
      <top style="medium">
        <color auto="1"/>
      </top>
      <bottom style="medium">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auto="1"/>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auto="1"/>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81829A"/>
      </left>
      <right/>
      <top style="thin">
        <color rgb="FF81829A"/>
      </top>
      <bottom style="thin">
        <color indexed="64"/>
      </bottom>
      <diagonal/>
    </border>
    <border>
      <left/>
      <right/>
      <top style="thin">
        <color rgb="FF81829A"/>
      </top>
      <bottom style="thin">
        <color indexed="64"/>
      </bottom>
      <diagonal/>
    </border>
    <border>
      <left/>
      <right style="thin">
        <color rgb="FF81829A"/>
      </right>
      <top style="thin">
        <color rgb="FF81829A"/>
      </top>
      <bottom style="thin">
        <color indexed="64"/>
      </bottom>
      <diagonal/>
    </border>
    <border>
      <left/>
      <right/>
      <top style="thin">
        <color auto="1"/>
      </top>
      <bottom/>
      <diagonal/>
    </border>
    <border>
      <left style="thin">
        <color rgb="FF81829A"/>
      </left>
      <right style="thin">
        <color rgb="FF81829A"/>
      </right>
      <top style="thin">
        <color rgb="FF81829A"/>
      </top>
      <bottom style="thin">
        <color rgb="FF81829A"/>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bottom/>
      <diagonal/>
    </border>
    <border>
      <left style="hair">
        <color indexed="64"/>
      </left>
      <right style="medium">
        <color indexed="64"/>
      </right>
      <top style="hair">
        <color indexed="64"/>
      </top>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style="medium">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right/>
      <top style="medium">
        <color indexed="64"/>
      </top>
      <bottom style="thin">
        <color indexed="64"/>
      </bottom>
      <diagonal/>
    </border>
    <border>
      <left style="dashed">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right/>
      <top style="dashed">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style="thin">
        <color indexed="64"/>
      </top>
      <bottom style="hair">
        <color indexed="64"/>
      </bottom>
      <diagonal/>
    </border>
    <border>
      <left/>
      <right style="hair">
        <color indexed="64"/>
      </right>
      <top style="thin">
        <color indexed="64"/>
      </top>
      <bottom style="hair">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diagonal/>
    </border>
    <border>
      <left style="hair">
        <color indexed="64"/>
      </left>
      <right style="hair">
        <color indexed="64"/>
      </right>
      <top style="hair">
        <color indexed="64"/>
      </top>
      <bottom/>
      <diagonal/>
    </border>
    <border>
      <left style="medium">
        <color indexed="64"/>
      </left>
      <right style="hair">
        <color indexed="64"/>
      </right>
      <top style="hair">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5">
    <xf numFmtId="0" fontId="0" fillId="0" borderId="0"/>
    <xf numFmtId="9" fontId="3" fillId="0" borderId="0" applyFont="0" applyFill="0" applyBorder="0" applyAlignment="0" applyProtection="0"/>
    <xf numFmtId="0" fontId="21" fillId="0" borderId="0"/>
    <xf numFmtId="0" fontId="29" fillId="0" borderId="0"/>
    <xf numFmtId="0" fontId="33" fillId="0" borderId="0"/>
  </cellStyleXfs>
  <cellXfs count="335">
    <xf numFmtId="0" fontId="0" fillId="0" borderId="0" xfId="0"/>
    <xf numFmtId="0" fontId="0" fillId="4" borderId="0" xfId="0" applyFill="1"/>
    <xf numFmtId="0" fontId="0" fillId="4" borderId="17" xfId="0" applyFill="1" applyBorder="1"/>
    <xf numFmtId="0" fontId="0" fillId="4" borderId="18" xfId="0" applyFill="1" applyBorder="1"/>
    <xf numFmtId="0" fontId="0" fillId="4" borderId="19" xfId="0" applyFill="1" applyBorder="1"/>
    <xf numFmtId="0" fontId="0" fillId="4" borderId="20" xfId="0" applyFill="1" applyBorder="1"/>
    <xf numFmtId="0" fontId="7" fillId="4" borderId="0" xfId="0" applyFont="1" applyFill="1" applyAlignment="1">
      <alignment horizontal="center"/>
    </xf>
    <xf numFmtId="0" fontId="0" fillId="4" borderId="21" xfId="0" applyFill="1" applyBorder="1"/>
    <xf numFmtId="164" fontId="7" fillId="4" borderId="0" xfId="0" applyNumberFormat="1" applyFont="1" applyFill="1" applyAlignment="1">
      <alignment horizontal="center"/>
    </xf>
    <xf numFmtId="0" fontId="8" fillId="4" borderId="0" xfId="0" applyFont="1" applyFill="1" applyAlignment="1">
      <alignment vertical="center"/>
    </xf>
    <xf numFmtId="0" fontId="10" fillId="4" borderId="0" xfId="0" applyFont="1" applyFill="1" applyAlignment="1">
      <alignment horizontal="center" vertical="center"/>
    </xf>
    <xf numFmtId="0" fontId="11" fillId="4" borderId="0" xfId="0" applyFont="1" applyFill="1"/>
    <xf numFmtId="0" fontId="9" fillId="4" borderId="0" xfId="0" applyFont="1" applyFill="1" applyAlignment="1">
      <alignment horizontal="center" vertical="center"/>
    </xf>
    <xf numFmtId="0" fontId="2" fillId="4" borderId="30" xfId="0" applyFont="1" applyFill="1" applyBorder="1" applyAlignment="1">
      <alignment horizontal="center" vertical="center"/>
    </xf>
    <xf numFmtId="0" fontId="2" fillId="4" borderId="0" xfId="0" applyFont="1" applyFill="1" applyAlignment="1">
      <alignment horizontal="center" vertical="center"/>
    </xf>
    <xf numFmtId="0" fontId="13" fillId="4" borderId="0" xfId="0" applyFont="1" applyFill="1" applyAlignment="1">
      <alignment wrapText="1"/>
    </xf>
    <xf numFmtId="0" fontId="5" fillId="0" borderId="0" xfId="0" applyFont="1" applyAlignment="1">
      <alignment vertical="center"/>
    </xf>
    <xf numFmtId="9" fontId="2" fillId="0" borderId="0" xfId="0" applyNumberFormat="1" applyFont="1" applyAlignment="1">
      <alignment vertical="center"/>
    </xf>
    <xf numFmtId="0" fontId="2" fillId="4" borderId="21" xfId="0" applyFont="1" applyFill="1" applyBorder="1" applyAlignment="1">
      <alignment vertical="center"/>
    </xf>
    <xf numFmtId="0" fontId="2" fillId="4" borderId="0" xfId="0" applyFont="1" applyFill="1" applyAlignment="1">
      <alignment vertical="center"/>
    </xf>
    <xf numFmtId="0" fontId="5" fillId="4" borderId="0" xfId="0" applyFont="1" applyFill="1" applyAlignment="1">
      <alignment vertical="center"/>
    </xf>
    <xf numFmtId="0" fontId="2" fillId="4" borderId="0" xfId="0" applyFont="1" applyFill="1" applyAlignment="1">
      <alignment horizontal="left" vertical="center"/>
    </xf>
    <xf numFmtId="0" fontId="15" fillId="4" borderId="0" xfId="0" applyFont="1" applyFill="1" applyAlignment="1">
      <alignment vertical="center"/>
    </xf>
    <xf numFmtId="0" fontId="0" fillId="4" borderId="34" xfId="0" applyFill="1" applyBorder="1"/>
    <xf numFmtId="0" fontId="0" fillId="4" borderId="35" xfId="0" applyFill="1" applyBorder="1"/>
    <xf numFmtId="0" fontId="0" fillId="4" borderId="36" xfId="0" applyFill="1" applyBorder="1"/>
    <xf numFmtId="0" fontId="5" fillId="4" borderId="0" xfId="0" applyFont="1" applyFill="1" applyAlignment="1">
      <alignment horizontal="center" vertical="center" wrapText="1"/>
    </xf>
    <xf numFmtId="0" fontId="4" fillId="4" borderId="0" xfId="0" applyFont="1" applyFill="1"/>
    <xf numFmtId="0" fontId="5" fillId="4" borderId="0" xfId="0" applyFont="1" applyFill="1" applyAlignment="1">
      <alignment horizontal="left" vertical="center"/>
    </xf>
    <xf numFmtId="9" fontId="5" fillId="4" borderId="0" xfId="0" applyNumberFormat="1" applyFont="1" applyFill="1" applyAlignment="1">
      <alignment horizontal="center" vertical="center"/>
    </xf>
    <xf numFmtId="0" fontId="4" fillId="4" borderId="0" xfId="0" applyFont="1" applyFill="1" applyAlignment="1">
      <alignment horizontal="left"/>
    </xf>
    <xf numFmtId="0" fontId="22" fillId="0" borderId="0" xfId="2" applyFont="1" applyAlignment="1" applyProtection="1">
      <alignment vertical="center"/>
      <protection locked="0"/>
    </xf>
    <xf numFmtId="49" fontId="24" fillId="4" borderId="0" xfId="2" applyNumberFormat="1" applyFont="1" applyFill="1" applyAlignment="1" applyProtection="1">
      <alignment vertical="center"/>
      <protection locked="0"/>
    </xf>
    <xf numFmtId="0" fontId="24" fillId="4" borderId="0" xfId="2" applyFont="1" applyFill="1" applyAlignment="1" applyProtection="1">
      <alignment vertical="center"/>
      <protection locked="0"/>
    </xf>
    <xf numFmtId="9" fontId="26" fillId="4" borderId="0" xfId="2" applyNumberFormat="1" applyFont="1" applyFill="1" applyAlignment="1" applyProtection="1">
      <alignment vertical="center"/>
      <protection locked="0"/>
    </xf>
    <xf numFmtId="9" fontId="22" fillId="4" borderId="0" xfId="1" applyFont="1" applyFill="1" applyAlignment="1" applyProtection="1">
      <alignment vertical="center"/>
      <protection locked="0"/>
    </xf>
    <xf numFmtId="9" fontId="22" fillId="4" borderId="0" xfId="2" applyNumberFormat="1" applyFont="1" applyFill="1" applyAlignment="1" applyProtection="1">
      <alignment vertical="center"/>
      <protection locked="0"/>
    </xf>
    <xf numFmtId="0" fontId="26" fillId="4" borderId="0" xfId="2" applyFont="1" applyFill="1" applyAlignment="1" applyProtection="1">
      <alignment vertical="center"/>
      <protection locked="0"/>
    </xf>
    <xf numFmtId="0" fontId="26" fillId="0" borderId="0" xfId="3" applyFont="1"/>
    <xf numFmtId="0" fontId="7" fillId="4" borderId="0" xfId="0" applyFont="1" applyFill="1"/>
    <xf numFmtId="0" fontId="7" fillId="0" borderId="0" xfId="0" applyFont="1"/>
    <xf numFmtId="0" fontId="36" fillId="0" borderId="0" xfId="0" applyFont="1" applyAlignment="1">
      <alignment vertical="top"/>
    </xf>
    <xf numFmtId="49" fontId="36" fillId="0" borderId="0" xfId="0" applyNumberFormat="1" applyFont="1" applyAlignment="1">
      <alignment horizontal="center" vertical="top"/>
    </xf>
    <xf numFmtId="0" fontId="22" fillId="4" borderId="0" xfId="2" applyFont="1" applyFill="1" applyAlignment="1" applyProtection="1">
      <alignment vertical="center"/>
      <protection locked="0"/>
    </xf>
    <xf numFmtId="0" fontId="26" fillId="4" borderId="0" xfId="3" applyFont="1" applyFill="1"/>
    <xf numFmtId="0" fontId="26" fillId="4" borderId="59" xfId="3" applyFont="1" applyFill="1" applyBorder="1" applyAlignment="1">
      <alignment vertical="top" wrapText="1"/>
    </xf>
    <xf numFmtId="0" fontId="26" fillId="4" borderId="0" xfId="3" applyFont="1" applyFill="1" applyAlignment="1">
      <alignment vertical="top" wrapText="1"/>
    </xf>
    <xf numFmtId="0" fontId="26" fillId="4" borderId="60" xfId="3" applyFont="1" applyFill="1" applyBorder="1" applyAlignment="1">
      <alignment vertical="top" wrapText="1"/>
    </xf>
    <xf numFmtId="0" fontId="26" fillId="4" borderId="59" xfId="3" applyFont="1" applyFill="1" applyBorder="1" applyAlignment="1">
      <alignment horizontal="left" vertical="top"/>
    </xf>
    <xf numFmtId="0" fontId="26" fillId="4" borderId="60" xfId="3" applyFont="1" applyFill="1" applyBorder="1" applyAlignment="1">
      <alignment horizontal="left" vertical="top"/>
    </xf>
    <xf numFmtId="0" fontId="26" fillId="4" borderId="59" xfId="3" applyFont="1" applyFill="1" applyBorder="1"/>
    <xf numFmtId="0" fontId="34" fillId="4" borderId="0" xfId="4" applyFont="1" applyFill="1" applyAlignment="1">
      <alignment horizontal="left" vertical="top" wrapText="1" readingOrder="1"/>
    </xf>
    <xf numFmtId="0" fontId="26" fillId="4" borderId="60" xfId="3" applyFont="1" applyFill="1" applyBorder="1"/>
    <xf numFmtId="0" fontId="26" fillId="4" borderId="72" xfId="3" applyFont="1" applyFill="1" applyBorder="1"/>
    <xf numFmtId="0" fontId="26" fillId="4" borderId="73" xfId="3" applyFont="1" applyFill="1" applyBorder="1"/>
    <xf numFmtId="0" fontId="26" fillId="4" borderId="74" xfId="3" applyFont="1" applyFill="1" applyBorder="1"/>
    <xf numFmtId="0" fontId="34" fillId="4" borderId="0" xfId="0" applyFont="1" applyFill="1" applyAlignment="1">
      <alignment horizontal="left" vertical="center" wrapText="1"/>
    </xf>
    <xf numFmtId="0" fontId="35" fillId="4" borderId="0" xfId="0" applyFont="1" applyFill="1" applyAlignment="1">
      <alignment horizontal="left" vertical="top" wrapText="1"/>
    </xf>
    <xf numFmtId="0" fontId="26" fillId="4" borderId="0" xfId="3" quotePrefix="1" applyFont="1" applyFill="1" applyAlignment="1">
      <alignment horizontal="left" vertical="center" wrapText="1"/>
    </xf>
    <xf numFmtId="0" fontId="32" fillId="4" borderId="0" xfId="3" applyFont="1" applyFill="1" applyAlignment="1">
      <alignment horizontal="left" vertical="center" wrapText="1"/>
    </xf>
    <xf numFmtId="0" fontId="26" fillId="4" borderId="0" xfId="3" applyFont="1" applyFill="1" applyAlignment="1">
      <alignment horizontal="left" vertical="center" wrapText="1"/>
    </xf>
    <xf numFmtId="0" fontId="7" fillId="4" borderId="0" xfId="0" applyFont="1" applyFill="1" applyAlignment="1">
      <alignment vertical="center"/>
    </xf>
    <xf numFmtId="0" fontId="7" fillId="0" borderId="0" xfId="0" applyFont="1" applyAlignment="1">
      <alignment vertical="center"/>
    </xf>
    <xf numFmtId="0" fontId="8" fillId="4" borderId="0" xfId="0" applyFont="1" applyFill="1"/>
    <xf numFmtId="0" fontId="8" fillId="0" borderId="0" xfId="0" applyFont="1" applyAlignment="1">
      <alignment vertical="top"/>
    </xf>
    <xf numFmtId="0" fontId="8" fillId="0" borderId="0" xfId="0" applyFont="1"/>
    <xf numFmtId="0" fontId="44" fillId="9" borderId="11" xfId="0" applyFont="1" applyFill="1" applyBorder="1" applyAlignment="1">
      <alignment horizontal="center" vertical="top" wrapText="1"/>
    </xf>
    <xf numFmtId="49" fontId="45" fillId="5" borderId="7" xfId="0" applyNumberFormat="1" applyFont="1" applyFill="1" applyBorder="1" applyAlignment="1">
      <alignment horizontal="center" vertical="center" wrapText="1"/>
    </xf>
    <xf numFmtId="0" fontId="45" fillId="5" borderId="7" xfId="0" applyFont="1" applyFill="1" applyBorder="1" applyAlignment="1">
      <alignment horizontal="center" vertical="center" wrapText="1"/>
    </xf>
    <xf numFmtId="0" fontId="45" fillId="5" borderId="10" xfId="0" applyFont="1" applyFill="1" applyBorder="1" applyAlignment="1">
      <alignment horizontal="center" vertical="center" wrapText="1"/>
    </xf>
    <xf numFmtId="0" fontId="45" fillId="5" borderId="5" xfId="0" applyFont="1" applyFill="1" applyBorder="1" applyAlignment="1">
      <alignment horizontal="center" vertical="center" wrapText="1"/>
    </xf>
    <xf numFmtId="0" fontId="46" fillId="0" borderId="2" xfId="0" applyFont="1" applyBorder="1" applyAlignment="1">
      <alignment horizontal="center" vertical="center" wrapText="1"/>
    </xf>
    <xf numFmtId="0" fontId="46" fillId="0" borderId="2" xfId="0" applyFont="1" applyBorder="1" applyAlignment="1">
      <alignment horizontal="left" vertical="center" wrapText="1"/>
    </xf>
    <xf numFmtId="0" fontId="46" fillId="0" borderId="3" xfId="0" applyFont="1" applyBorder="1" applyAlignment="1">
      <alignment horizontal="center" vertical="center" wrapText="1"/>
    </xf>
    <xf numFmtId="0" fontId="47" fillId="0" borderId="3" xfId="0" applyFont="1" applyBorder="1" applyAlignment="1">
      <alignment horizontal="left" vertical="center" wrapText="1"/>
    </xf>
    <xf numFmtId="0" fontId="46" fillId="0" borderId="3" xfId="0" applyFont="1" applyBorder="1" applyAlignment="1">
      <alignment horizontal="left" vertical="center" wrapText="1"/>
    </xf>
    <xf numFmtId="0" fontId="46" fillId="0" borderId="4" xfId="0" applyFont="1" applyBorder="1" applyAlignment="1">
      <alignment horizontal="center" vertical="center" wrapText="1"/>
    </xf>
    <xf numFmtId="0" fontId="46" fillId="0" borderId="4" xfId="0" applyFont="1" applyBorder="1" applyAlignment="1">
      <alignment horizontal="left" vertical="center" wrapText="1"/>
    </xf>
    <xf numFmtId="0" fontId="9" fillId="13" borderId="3" xfId="0" applyFont="1" applyFill="1" applyBorder="1" applyAlignment="1">
      <alignment horizontal="center" vertical="center" wrapText="1"/>
    </xf>
    <xf numFmtId="0" fontId="9" fillId="15" borderId="3"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11" borderId="3" xfId="0" applyFont="1" applyFill="1" applyBorder="1" applyAlignment="1">
      <alignment horizontal="center" vertical="center" wrapText="1"/>
    </xf>
    <xf numFmtId="0" fontId="9" fillId="9" borderId="3" xfId="0" applyFont="1" applyFill="1" applyBorder="1" applyAlignment="1">
      <alignment horizontal="center" vertical="center" wrapText="1"/>
    </xf>
    <xf numFmtId="0" fontId="51" fillId="2" borderId="3" xfId="0" applyFont="1" applyFill="1" applyBorder="1" applyAlignment="1">
      <alignment horizontal="center" vertical="center"/>
    </xf>
    <xf numFmtId="0" fontId="42" fillId="0" borderId="3" xfId="0" applyFont="1" applyBorder="1" applyAlignment="1">
      <alignment horizontal="center" vertical="center"/>
    </xf>
    <xf numFmtId="0" fontId="52" fillId="12" borderId="31" xfId="0" applyFont="1" applyFill="1" applyBorder="1" applyAlignment="1">
      <alignment horizontal="center" vertical="center" wrapText="1"/>
    </xf>
    <xf numFmtId="0" fontId="42" fillId="0" borderId="0" xfId="0" applyFont="1" applyAlignment="1">
      <alignment horizontal="center" vertical="center" wrapText="1"/>
    </xf>
    <xf numFmtId="0" fontId="25" fillId="4" borderId="0" xfId="2" applyFont="1" applyFill="1" applyAlignment="1">
      <alignment vertical="center" wrapText="1"/>
    </xf>
    <xf numFmtId="0" fontId="35" fillId="4" borderId="0" xfId="2" applyFont="1" applyFill="1" applyAlignment="1">
      <alignment vertical="center" wrapText="1"/>
    </xf>
    <xf numFmtId="0" fontId="36" fillId="0" borderId="0" xfId="0" applyFont="1" applyAlignment="1" applyProtection="1">
      <alignment horizontal="center" vertical="top"/>
      <protection hidden="1"/>
    </xf>
    <xf numFmtId="0" fontId="38" fillId="0" borderId="79" xfId="0" applyFont="1" applyBorder="1" applyAlignment="1" applyProtection="1">
      <alignment horizontal="center" vertical="center" wrapText="1"/>
      <protection hidden="1"/>
    </xf>
    <xf numFmtId="0" fontId="8" fillId="0" borderId="0" xfId="0" applyFont="1" applyAlignment="1" applyProtection="1">
      <alignment horizontal="center" vertical="top"/>
      <protection hidden="1"/>
    </xf>
    <xf numFmtId="0" fontId="39" fillId="0" borderId="9" xfId="0" applyFont="1" applyBorder="1" applyAlignment="1" applyProtection="1">
      <alignment horizontal="center" vertical="center" wrapText="1"/>
      <protection hidden="1"/>
    </xf>
    <xf numFmtId="49" fontId="8" fillId="0" borderId="0" xfId="0" applyNumberFormat="1" applyFont="1" applyAlignment="1" applyProtection="1">
      <alignment horizontal="center" vertical="top"/>
      <protection hidden="1"/>
    </xf>
    <xf numFmtId="0" fontId="38" fillId="0" borderId="9" xfId="0" applyFont="1" applyBorder="1" applyAlignment="1" applyProtection="1">
      <alignment horizontal="center" vertical="center" wrapText="1"/>
      <protection hidden="1"/>
    </xf>
    <xf numFmtId="0" fontId="38" fillId="0" borderId="80" xfId="0" applyFont="1" applyBorder="1" applyAlignment="1" applyProtection="1">
      <alignment horizontal="center" vertical="center" wrapText="1"/>
      <protection hidden="1"/>
    </xf>
    <xf numFmtId="0" fontId="8" fillId="0" borderId="0" xfId="0" applyFont="1" applyAlignment="1" applyProtection="1">
      <alignment vertical="top"/>
      <protection hidden="1"/>
    </xf>
    <xf numFmtId="0" fontId="43" fillId="0" borderId="2" xfId="0" applyFont="1" applyBorder="1" applyAlignment="1" applyProtection="1">
      <alignment horizontal="center" vertical="center" wrapText="1"/>
      <protection locked="0"/>
    </xf>
    <xf numFmtId="0" fontId="36" fillId="0" borderId="79" xfId="0" applyFont="1" applyBorder="1" applyAlignment="1" applyProtection="1">
      <alignment horizontal="left" vertical="center" wrapText="1"/>
      <protection locked="0"/>
    </xf>
    <xf numFmtId="0" fontId="43" fillId="0" borderId="3" xfId="0" applyFont="1" applyBorder="1" applyAlignment="1" applyProtection="1">
      <alignment horizontal="center" vertical="center" wrapText="1"/>
      <protection locked="0"/>
    </xf>
    <xf numFmtId="0" fontId="7" fillId="0" borderId="9" xfId="0" applyFont="1" applyBorder="1" applyAlignment="1" applyProtection="1">
      <alignment horizontal="left" vertical="center" wrapText="1"/>
      <protection locked="0"/>
    </xf>
    <xf numFmtId="0" fontId="36" fillId="0" borderId="9" xfId="0" applyFont="1" applyBorder="1" applyAlignment="1" applyProtection="1">
      <alignment horizontal="left" vertical="center" wrapText="1"/>
      <protection locked="0"/>
    </xf>
    <xf numFmtId="0" fontId="43" fillId="0" borderId="4" xfId="0" applyFont="1" applyBorder="1" applyAlignment="1" applyProtection="1">
      <alignment horizontal="center" vertical="center" wrapText="1"/>
      <protection locked="0"/>
    </xf>
    <xf numFmtId="0" fontId="36" fillId="0" borderId="80" xfId="0" applyFont="1" applyBorder="1" applyAlignment="1" applyProtection="1">
      <alignment horizontal="left" vertical="center" wrapText="1"/>
      <protection locked="0"/>
    </xf>
    <xf numFmtId="0" fontId="19" fillId="2" borderId="82" xfId="2" applyFont="1" applyFill="1" applyBorder="1" applyAlignment="1">
      <alignment horizontal="center" vertical="center"/>
    </xf>
    <xf numFmtId="0" fontId="19" fillId="2" borderId="82" xfId="2" applyFont="1" applyFill="1" applyBorder="1" applyAlignment="1">
      <alignment horizontal="center" vertical="center" wrapText="1"/>
    </xf>
    <xf numFmtId="0" fontId="1" fillId="0" borderId="2" xfId="0" applyFont="1" applyBorder="1" applyAlignment="1" applyProtection="1">
      <alignment horizontal="left" vertical="center" wrapText="1"/>
      <protection hidden="1"/>
    </xf>
    <xf numFmtId="0" fontId="0" fillId="0" borderId="2" xfId="0" applyBorder="1" applyAlignment="1" applyProtection="1">
      <alignment horizontal="center" vertical="center"/>
      <protection hidden="1"/>
    </xf>
    <xf numFmtId="0" fontId="40" fillId="0" borderId="84" xfId="0" applyFont="1" applyBorder="1" applyAlignment="1" applyProtection="1">
      <alignment vertical="center" wrapText="1"/>
      <protection hidden="1"/>
    </xf>
    <xf numFmtId="0" fontId="1" fillId="0" borderId="3" xfId="0" applyFont="1" applyBorder="1" applyAlignment="1" applyProtection="1">
      <alignment horizontal="left" vertical="center" wrapText="1"/>
      <protection hidden="1"/>
    </xf>
    <xf numFmtId="0" fontId="0" fillId="0" borderId="3" xfId="0" applyBorder="1" applyAlignment="1" applyProtection="1">
      <alignment horizontal="center" vertical="center"/>
      <protection hidden="1"/>
    </xf>
    <xf numFmtId="0" fontId="40" fillId="0" borderId="85" xfId="0" applyFont="1" applyBorder="1" applyAlignment="1" applyProtection="1">
      <alignment vertical="center" wrapText="1"/>
      <protection hidden="1"/>
    </xf>
    <xf numFmtId="0" fontId="1" fillId="0" borderId="4" xfId="0" applyFont="1" applyBorder="1" applyAlignment="1" applyProtection="1">
      <alignment horizontal="left" vertical="center" wrapText="1"/>
      <protection hidden="1"/>
    </xf>
    <xf numFmtId="0" fontId="0" fillId="0" borderId="4" xfId="0" applyBorder="1" applyAlignment="1" applyProtection="1">
      <alignment horizontal="center" vertical="center"/>
      <protection hidden="1"/>
    </xf>
    <xf numFmtId="0" fontId="40" fillId="0" borderId="86" xfId="0" applyFont="1" applyBorder="1" applyAlignment="1" applyProtection="1">
      <alignment vertical="center" wrapText="1"/>
      <protection hidden="1"/>
    </xf>
    <xf numFmtId="0" fontId="1" fillId="0" borderId="7" xfId="0" applyFont="1" applyBorder="1" applyAlignment="1" applyProtection="1">
      <alignment horizontal="left" vertical="center" wrapText="1"/>
      <protection hidden="1"/>
    </xf>
    <xf numFmtId="0" fontId="0" fillId="0" borderId="7" xfId="0" applyBorder="1" applyAlignment="1" applyProtection="1">
      <alignment horizontal="center" vertical="center"/>
      <protection hidden="1"/>
    </xf>
    <xf numFmtId="0" fontId="40" fillId="0" borderId="5" xfId="0" applyFont="1" applyBorder="1" applyAlignment="1" applyProtection="1">
      <alignment vertical="center" wrapText="1"/>
      <protection hidden="1"/>
    </xf>
    <xf numFmtId="0" fontId="1" fillId="0" borderId="6" xfId="0" applyFont="1" applyBorder="1" applyAlignment="1" applyProtection="1">
      <alignment horizontal="left" vertical="center" wrapText="1"/>
      <protection hidden="1"/>
    </xf>
    <xf numFmtId="0" fontId="0" fillId="0" borderId="6" xfId="0" applyBorder="1" applyAlignment="1" applyProtection="1">
      <alignment horizontal="center" vertical="center"/>
      <protection hidden="1"/>
    </xf>
    <xf numFmtId="0" fontId="40" fillId="0" borderId="6" xfId="0" applyFont="1" applyBorder="1" applyAlignment="1" applyProtection="1">
      <alignment vertical="center" wrapText="1"/>
      <protection hidden="1"/>
    </xf>
    <xf numFmtId="0" fontId="40" fillId="0" borderId="3" xfId="0" applyFont="1" applyBorder="1" applyAlignment="1" applyProtection="1">
      <alignment vertical="center" wrapText="1"/>
      <protection hidden="1"/>
    </xf>
    <xf numFmtId="0" fontId="40" fillId="0" borderId="7" xfId="0" applyFont="1" applyBorder="1" applyAlignment="1" applyProtection="1">
      <alignment vertical="center" wrapText="1"/>
      <protection hidden="1"/>
    </xf>
    <xf numFmtId="0" fontId="48" fillId="0" borderId="22" xfId="0" applyFont="1" applyBorder="1" applyAlignment="1" applyProtection="1">
      <alignment horizontal="center" vertical="center"/>
      <protection hidden="1"/>
    </xf>
    <xf numFmtId="9" fontId="0" fillId="0" borderId="90" xfId="0" applyNumberFormat="1" applyBorder="1" applyAlignment="1" applyProtection="1">
      <alignment horizontal="center" vertical="center"/>
      <protection hidden="1"/>
    </xf>
    <xf numFmtId="9" fontId="0" fillId="0" borderId="91" xfId="0" applyNumberFormat="1" applyBorder="1" applyAlignment="1" applyProtection="1">
      <alignment horizontal="center" vertical="center"/>
      <protection hidden="1"/>
    </xf>
    <xf numFmtId="9" fontId="0" fillId="0" borderId="92" xfId="0" applyNumberFormat="1" applyBorder="1" applyAlignment="1" applyProtection="1">
      <alignment horizontal="center" vertical="center"/>
      <protection hidden="1"/>
    </xf>
    <xf numFmtId="9" fontId="0" fillId="0" borderId="93" xfId="0" applyNumberFormat="1" applyBorder="1" applyAlignment="1" applyProtection="1">
      <alignment horizontal="center" vertical="center"/>
      <protection hidden="1"/>
    </xf>
    <xf numFmtId="9" fontId="0" fillId="0" borderId="6" xfId="0" applyNumberFormat="1" applyBorder="1" applyAlignment="1" applyProtection="1">
      <alignment horizontal="center" vertical="center"/>
      <protection hidden="1"/>
    </xf>
    <xf numFmtId="9" fontId="0" fillId="0" borderId="3" xfId="0" applyNumberFormat="1" applyBorder="1" applyAlignment="1" applyProtection="1">
      <alignment horizontal="center" vertical="center"/>
      <protection hidden="1"/>
    </xf>
    <xf numFmtId="9" fontId="0" fillId="0" borderId="7" xfId="0" applyNumberFormat="1" applyBorder="1" applyAlignment="1" applyProtection="1">
      <alignment horizontal="center" vertical="center"/>
      <protection hidden="1"/>
    </xf>
    <xf numFmtId="9" fontId="42" fillId="2" borderId="26" xfId="0" applyNumberFormat="1" applyFont="1" applyFill="1" applyBorder="1" applyAlignment="1" applyProtection="1">
      <alignment horizontal="center" vertical="center"/>
      <protection hidden="1"/>
    </xf>
    <xf numFmtId="0" fontId="42" fillId="0" borderId="3" xfId="0" applyFont="1" applyBorder="1" applyAlignment="1" applyProtection="1">
      <alignment horizontal="center" vertical="center"/>
      <protection hidden="1"/>
    </xf>
    <xf numFmtId="9" fontId="14" fillId="14" borderId="3" xfId="0" applyNumberFormat="1" applyFont="1" applyFill="1" applyBorder="1" applyAlignment="1" applyProtection="1">
      <alignment horizontal="center" vertical="center"/>
      <protection hidden="1"/>
    </xf>
    <xf numFmtId="49" fontId="55" fillId="4" borderId="2" xfId="0" applyNumberFormat="1" applyFont="1" applyFill="1" applyBorder="1" applyAlignment="1" applyProtection="1">
      <alignment horizontal="center" vertical="center" wrapText="1"/>
      <protection locked="0"/>
    </xf>
    <xf numFmtId="49" fontId="55" fillId="4" borderId="3" xfId="0" applyNumberFormat="1" applyFont="1" applyFill="1" applyBorder="1" applyAlignment="1" applyProtection="1">
      <alignment horizontal="center" vertical="center" wrapText="1"/>
      <protection locked="0"/>
    </xf>
    <xf numFmtId="49" fontId="55" fillId="4" borderId="4" xfId="0" applyNumberFormat="1" applyFont="1" applyFill="1" applyBorder="1" applyAlignment="1" applyProtection="1">
      <alignment horizontal="center" vertical="center" wrapText="1"/>
      <protection locked="0"/>
    </xf>
    <xf numFmtId="49" fontId="18" fillId="5" borderId="7" xfId="0" applyNumberFormat="1" applyFont="1" applyFill="1" applyBorder="1" applyAlignment="1" applyProtection="1">
      <alignment horizontal="center" vertical="center" wrapText="1"/>
      <protection hidden="1"/>
    </xf>
    <xf numFmtId="0" fontId="18" fillId="5" borderId="7" xfId="0" applyFont="1" applyFill="1" applyBorder="1" applyAlignment="1" applyProtection="1">
      <alignment horizontal="center" vertical="center" wrapText="1"/>
      <protection hidden="1"/>
    </xf>
    <xf numFmtId="0" fontId="18" fillId="5" borderId="10" xfId="0" applyFont="1" applyFill="1" applyBorder="1" applyAlignment="1" applyProtection="1">
      <alignment horizontal="center" vertical="center" wrapText="1"/>
      <protection hidden="1"/>
    </xf>
    <xf numFmtId="0" fontId="18" fillId="5" borderId="81" xfId="0" applyFont="1" applyFill="1" applyBorder="1" applyAlignment="1" applyProtection="1">
      <alignment horizontal="center" vertical="center" wrapText="1"/>
      <protection hidden="1"/>
    </xf>
    <xf numFmtId="0" fontId="0" fillId="0" borderId="0" xfId="0" applyProtection="1">
      <protection hidden="1"/>
    </xf>
    <xf numFmtId="9" fontId="0" fillId="0" borderId="0" xfId="1" applyFont="1" applyProtection="1">
      <protection hidden="1"/>
    </xf>
    <xf numFmtId="10" fontId="0" fillId="0" borderId="0" xfId="1" applyNumberFormat="1" applyFont="1" applyProtection="1">
      <protection hidden="1"/>
    </xf>
    <xf numFmtId="49" fontId="44" fillId="9" borderId="14" xfId="0" applyNumberFormat="1" applyFont="1" applyFill="1" applyBorder="1" applyAlignment="1">
      <alignment horizontal="center" vertical="center" wrapText="1"/>
    </xf>
    <xf numFmtId="49" fontId="44" fillId="9" borderId="11" xfId="0" applyNumberFormat="1" applyFont="1" applyFill="1" applyBorder="1" applyAlignment="1">
      <alignment horizontal="center" vertical="center" wrapText="1"/>
    </xf>
    <xf numFmtId="0" fontId="43" fillId="4" borderId="3" xfId="0" applyFont="1" applyFill="1" applyBorder="1" applyAlignment="1" applyProtection="1">
      <alignment horizontal="center" vertical="center" wrapText="1"/>
      <protection locked="0"/>
    </xf>
    <xf numFmtId="0" fontId="36" fillId="4" borderId="9" xfId="0" applyFont="1" applyFill="1" applyBorder="1" applyAlignment="1" applyProtection="1">
      <alignment horizontal="left" vertical="center" wrapText="1"/>
      <protection locked="0"/>
    </xf>
    <xf numFmtId="0" fontId="46" fillId="0" borderId="7" xfId="0" applyFont="1" applyBorder="1" applyAlignment="1">
      <alignment horizontal="center" vertical="center" wrapText="1"/>
    </xf>
    <xf numFmtId="0" fontId="46" fillId="0" borderId="7" xfId="0" applyFont="1" applyBorder="1" applyAlignment="1">
      <alignment horizontal="left" vertical="center" wrapText="1"/>
    </xf>
    <xf numFmtId="0" fontId="43" fillId="0" borderId="7" xfId="0" applyFont="1" applyBorder="1" applyAlignment="1" applyProtection="1">
      <alignment horizontal="center" vertical="center" wrapText="1"/>
      <protection locked="0"/>
    </xf>
    <xf numFmtId="0" fontId="38" fillId="0" borderId="94" xfId="0" applyFont="1" applyBorder="1" applyAlignment="1" applyProtection="1">
      <alignment horizontal="center" vertical="center" wrapText="1"/>
      <protection hidden="1"/>
    </xf>
    <xf numFmtId="0" fontId="38" fillId="0" borderId="8" xfId="0" applyFont="1" applyBorder="1" applyAlignment="1" applyProtection="1">
      <alignment horizontal="center" vertical="center" wrapText="1"/>
      <protection hidden="1"/>
    </xf>
    <xf numFmtId="0" fontId="38" fillId="0" borderId="95" xfId="0" applyFont="1" applyBorder="1" applyAlignment="1" applyProtection="1">
      <alignment horizontal="center" vertical="center" wrapText="1"/>
      <protection hidden="1"/>
    </xf>
    <xf numFmtId="0" fontId="38" fillId="0" borderId="96" xfId="0" applyFont="1" applyBorder="1" applyAlignment="1" applyProtection="1">
      <alignment horizontal="center" vertical="center" wrapText="1"/>
      <protection hidden="1"/>
    </xf>
    <xf numFmtId="0" fontId="0" fillId="4" borderId="0" xfId="0" applyFill="1" applyAlignment="1">
      <alignment vertical="center"/>
    </xf>
    <xf numFmtId="0" fontId="0" fillId="4" borderId="18" xfId="0" applyFill="1" applyBorder="1" applyAlignment="1">
      <alignment vertical="center"/>
    </xf>
    <xf numFmtId="164" fontId="7" fillId="4" borderId="0" xfId="0" applyNumberFormat="1" applyFont="1" applyFill="1" applyAlignment="1">
      <alignment horizontal="center" vertical="center"/>
    </xf>
    <xf numFmtId="0" fontId="11" fillId="4" borderId="0" xfId="0" applyFont="1" applyFill="1" applyAlignment="1">
      <alignment vertical="center"/>
    </xf>
    <xf numFmtId="0" fontId="12" fillId="4" borderId="0" xfId="0" applyFont="1" applyFill="1" applyAlignment="1">
      <alignment vertical="center" wrapText="1"/>
    </xf>
    <xf numFmtId="0" fontId="20" fillId="0" borderId="0" xfId="0" applyFont="1" applyAlignment="1">
      <alignment horizontal="center" vertical="center" wrapText="1"/>
    </xf>
    <xf numFmtId="0" fontId="0" fillId="0" borderId="0" xfId="0" applyAlignment="1">
      <alignment vertical="center"/>
    </xf>
    <xf numFmtId="0" fontId="50" fillId="0" borderId="0" xfId="0" applyFont="1" applyAlignment="1">
      <alignment horizontal="center" vertical="center" wrapText="1"/>
    </xf>
    <xf numFmtId="0" fontId="53" fillId="0" borderId="0" xfId="0" applyFont="1" applyAlignment="1">
      <alignment horizontal="center" vertical="center"/>
    </xf>
    <xf numFmtId="0" fontId="0" fillId="0" borderId="3" xfId="0" applyBorder="1" applyAlignment="1">
      <alignment vertical="center"/>
    </xf>
    <xf numFmtId="0" fontId="16" fillId="4" borderId="0" xfId="0" applyFont="1" applyFill="1" applyAlignment="1">
      <alignment vertical="center"/>
    </xf>
    <xf numFmtId="0" fontId="0" fillId="4" borderId="35" xfId="0" applyFill="1" applyBorder="1" applyAlignment="1">
      <alignment vertical="center"/>
    </xf>
    <xf numFmtId="0" fontId="26" fillId="4" borderId="59" xfId="3" applyFont="1" applyFill="1" applyBorder="1" applyAlignment="1">
      <alignment horizontal="left" vertical="top" wrapText="1"/>
    </xf>
    <xf numFmtId="0" fontId="26" fillId="4" borderId="0" xfId="3" applyFont="1" applyFill="1" applyAlignment="1">
      <alignment horizontal="left" vertical="top" wrapText="1"/>
    </xf>
    <xf numFmtId="0" fontId="26" fillId="4" borderId="60" xfId="3" applyFont="1" applyFill="1" applyBorder="1" applyAlignment="1">
      <alignment horizontal="left" vertical="top" wrapText="1"/>
    </xf>
    <xf numFmtId="0" fontId="26" fillId="4" borderId="0" xfId="3" applyFont="1" applyFill="1"/>
    <xf numFmtId="0" fontId="34" fillId="4" borderId="77" xfId="0" applyFont="1" applyFill="1" applyBorder="1" applyAlignment="1">
      <alignment horizontal="left" vertical="center" wrapText="1"/>
    </xf>
    <xf numFmtId="0" fontId="34" fillId="4" borderId="78" xfId="0" applyFont="1" applyFill="1" applyBorder="1" applyAlignment="1">
      <alignment horizontal="left" vertical="center" wrapText="1"/>
    </xf>
    <xf numFmtId="0" fontId="35" fillId="0" borderId="69" xfId="3" applyFont="1" applyBorder="1" applyAlignment="1">
      <alignment horizontal="left" vertical="center" wrapText="1"/>
    </xf>
    <xf numFmtId="0" fontId="35" fillId="0" borderId="70" xfId="3" applyFont="1" applyBorder="1" applyAlignment="1">
      <alignment horizontal="left" vertical="center" wrapText="1"/>
    </xf>
    <xf numFmtId="0" fontId="17" fillId="2" borderId="44" xfId="2" applyFont="1" applyFill="1" applyBorder="1" applyAlignment="1">
      <alignment horizontal="center" vertical="center" wrapText="1"/>
    </xf>
    <xf numFmtId="0" fontId="17" fillId="2" borderId="45" xfId="2" applyFont="1" applyFill="1" applyBorder="1" applyAlignment="1">
      <alignment horizontal="center" vertical="center" wrapText="1"/>
    </xf>
    <xf numFmtId="0" fontId="25" fillId="7" borderId="50" xfId="2" applyFont="1" applyFill="1" applyBorder="1" applyAlignment="1">
      <alignment horizontal="center" vertical="center"/>
    </xf>
    <xf numFmtId="0" fontId="25" fillId="7" borderId="51" xfId="2" applyFont="1" applyFill="1" applyBorder="1" applyAlignment="1">
      <alignment horizontal="center" vertical="center"/>
    </xf>
    <xf numFmtId="0" fontId="26" fillId="0" borderId="56" xfId="2" applyFont="1" applyBorder="1" applyAlignment="1">
      <alignment horizontal="justify" vertical="center" wrapText="1"/>
    </xf>
    <xf numFmtId="0" fontId="26" fillId="0" borderId="57" xfId="2" applyFont="1" applyBorder="1" applyAlignment="1">
      <alignment horizontal="justify" vertical="center" wrapText="1"/>
    </xf>
    <xf numFmtId="0" fontId="25" fillId="8" borderId="52" xfId="2" applyFont="1" applyFill="1" applyBorder="1" applyAlignment="1">
      <alignment horizontal="center" vertical="center" wrapText="1"/>
    </xf>
    <xf numFmtId="0" fontId="25" fillId="8" borderId="53" xfId="2" applyFont="1" applyFill="1" applyBorder="1" applyAlignment="1">
      <alignment horizontal="center" vertical="center"/>
    </xf>
    <xf numFmtId="0" fontId="26" fillId="0" borderId="53" xfId="2" applyFont="1" applyBorder="1" applyAlignment="1">
      <alignment horizontal="justify" vertical="center" wrapText="1"/>
    </xf>
    <xf numFmtId="0" fontId="26" fillId="0" borderId="54" xfId="2" applyFont="1" applyBorder="1" applyAlignment="1">
      <alignment horizontal="justify" vertical="center" wrapText="1"/>
    </xf>
    <xf numFmtId="0" fontId="37" fillId="4" borderId="71" xfId="2" applyFont="1" applyFill="1" applyBorder="1" applyAlignment="1">
      <alignment horizontal="center" vertical="center" wrapText="1"/>
    </xf>
    <xf numFmtId="0" fontId="24" fillId="4" borderId="71" xfId="2" applyFont="1" applyFill="1" applyBorder="1" applyAlignment="1">
      <alignment horizontal="center" vertical="center" wrapText="1"/>
    </xf>
    <xf numFmtId="0" fontId="17" fillId="2" borderId="46" xfId="2" applyFont="1" applyFill="1" applyBorder="1" applyAlignment="1">
      <alignment horizontal="center" vertical="center" wrapText="1"/>
    </xf>
    <xf numFmtId="0" fontId="25" fillId="14" borderId="47" xfId="2" applyFont="1" applyFill="1" applyBorder="1" applyAlignment="1">
      <alignment horizontal="center" vertical="center"/>
    </xf>
    <xf numFmtId="0" fontId="25" fillId="14" borderId="48" xfId="2" applyFont="1" applyFill="1" applyBorder="1" applyAlignment="1">
      <alignment horizontal="center" vertical="center"/>
    </xf>
    <xf numFmtId="0" fontId="26" fillId="0" borderId="48" xfId="2" applyFont="1" applyBorder="1" applyAlignment="1">
      <alignment horizontal="justify" vertical="center" wrapText="1"/>
    </xf>
    <xf numFmtId="0" fontId="26" fillId="0" borderId="49" xfId="2" applyFont="1" applyBorder="1" applyAlignment="1">
      <alignment horizontal="justify" vertical="center" wrapText="1"/>
    </xf>
    <xf numFmtId="0" fontId="34" fillId="4" borderId="75" xfId="4" applyFont="1" applyFill="1" applyBorder="1" applyAlignment="1">
      <alignment horizontal="left" vertical="center" wrapText="1" readingOrder="1"/>
    </xf>
    <xf numFmtId="0" fontId="34" fillId="4" borderId="76" xfId="4" applyFont="1" applyFill="1" applyBorder="1" applyAlignment="1">
      <alignment horizontal="left" vertical="center" wrapText="1" readingOrder="1"/>
    </xf>
    <xf numFmtId="0" fontId="35" fillId="0" borderId="65" xfId="3" applyFont="1" applyBorder="1" applyAlignment="1">
      <alignment horizontal="left" vertical="center" wrapText="1"/>
    </xf>
    <xf numFmtId="0" fontId="35" fillId="0" borderId="66" xfId="3" applyFont="1" applyBorder="1" applyAlignment="1">
      <alignment horizontal="left" vertical="center" wrapText="1"/>
    </xf>
    <xf numFmtId="0" fontId="34" fillId="4" borderId="67" xfId="0" applyFont="1" applyFill="1" applyBorder="1" applyAlignment="1">
      <alignment horizontal="left" vertical="center" wrapText="1"/>
    </xf>
    <xf numFmtId="0" fontId="34" fillId="4" borderId="68" xfId="0" applyFont="1" applyFill="1" applyBorder="1" applyAlignment="1">
      <alignment horizontal="left" vertical="center" wrapText="1"/>
    </xf>
    <xf numFmtId="0" fontId="35" fillId="0" borderId="69" xfId="3" applyFont="1" applyBorder="1" applyAlignment="1">
      <alignment horizontal="left" vertical="top" wrapText="1"/>
    </xf>
    <xf numFmtId="0" fontId="35" fillId="0" borderId="70" xfId="3" applyFont="1" applyBorder="1" applyAlignment="1">
      <alignment horizontal="left" vertical="top" wrapText="1"/>
    </xf>
    <xf numFmtId="0" fontId="30" fillId="0" borderId="58" xfId="3" applyFont="1" applyBorder="1" applyAlignment="1">
      <alignment horizontal="center" vertical="center" wrapText="1"/>
    </xf>
    <xf numFmtId="0" fontId="30" fillId="0" borderId="55" xfId="3" applyFont="1" applyBorder="1" applyAlignment="1">
      <alignment horizontal="center" vertical="center" wrapText="1"/>
    </xf>
    <xf numFmtId="0" fontId="30" fillId="0" borderId="8" xfId="3" applyFont="1" applyBorder="1" applyAlignment="1">
      <alignment horizontal="center" vertical="center" wrapText="1"/>
    </xf>
    <xf numFmtId="0" fontId="26" fillId="0" borderId="59" xfId="3" quotePrefix="1" applyFont="1" applyBorder="1" applyAlignment="1">
      <alignment horizontal="left" vertical="center" wrapText="1"/>
    </xf>
    <xf numFmtId="0" fontId="26" fillId="0" borderId="0" xfId="3" quotePrefix="1" applyFont="1" applyAlignment="1">
      <alignment horizontal="left" vertical="center" wrapText="1"/>
    </xf>
    <xf numFmtId="0" fontId="26" fillId="0" borderId="60" xfId="3" quotePrefix="1" applyFont="1" applyBorder="1" applyAlignment="1">
      <alignment horizontal="left" vertical="center" wrapText="1"/>
    </xf>
    <xf numFmtId="0" fontId="31" fillId="4" borderId="59" xfId="3" quotePrefix="1" applyFont="1" applyFill="1" applyBorder="1" applyAlignment="1">
      <alignment horizontal="left" vertical="top" wrapText="1"/>
    </xf>
    <xf numFmtId="0" fontId="25" fillId="4" borderId="0" xfId="3" quotePrefix="1" applyFont="1" applyFill="1" applyAlignment="1">
      <alignment horizontal="left" vertical="top" wrapText="1"/>
    </xf>
    <xf numFmtId="0" fontId="25" fillId="4" borderId="60" xfId="3" quotePrefix="1" applyFont="1" applyFill="1" applyBorder="1" applyAlignment="1">
      <alignment horizontal="left" vertical="top" wrapText="1"/>
    </xf>
    <xf numFmtId="0" fontId="26" fillId="4" borderId="59" xfId="3" quotePrefix="1" applyFont="1" applyFill="1" applyBorder="1" applyAlignment="1">
      <alignment horizontal="left" vertical="top" wrapText="1"/>
    </xf>
    <xf numFmtId="0" fontId="26" fillId="4" borderId="0" xfId="3" quotePrefix="1" applyFont="1" applyFill="1" applyAlignment="1">
      <alignment horizontal="left" vertical="top" wrapText="1"/>
    </xf>
    <xf numFmtId="0" fontId="26" fillId="4" borderId="60" xfId="3" quotePrefix="1" applyFont="1" applyFill="1" applyBorder="1" applyAlignment="1">
      <alignment horizontal="left" vertical="top" wrapText="1"/>
    </xf>
    <xf numFmtId="0" fontId="34" fillId="16" borderId="61" xfId="4" applyFont="1" applyFill="1" applyBorder="1" applyAlignment="1">
      <alignment horizontal="center" vertical="center" wrapText="1"/>
    </xf>
    <xf numFmtId="0" fontId="34" fillId="16" borderId="62" xfId="4" applyFont="1" applyFill="1" applyBorder="1" applyAlignment="1">
      <alignment horizontal="center" vertical="center" wrapText="1"/>
    </xf>
    <xf numFmtId="0" fontId="34" fillId="16" borderId="63" xfId="3" applyFont="1" applyFill="1" applyBorder="1" applyAlignment="1">
      <alignment horizontal="center" vertical="center"/>
    </xf>
    <xf numFmtId="0" fontId="34" fillId="16" borderId="64" xfId="3" applyFont="1" applyFill="1" applyBorder="1" applyAlignment="1">
      <alignment horizontal="center" vertical="center"/>
    </xf>
    <xf numFmtId="49" fontId="45" fillId="5" borderId="0" xfId="0" applyNumberFormat="1" applyFont="1" applyFill="1" applyAlignment="1">
      <alignment horizontal="center" vertical="center"/>
    </xf>
    <xf numFmtId="0" fontId="44" fillId="11" borderId="11" xfId="0" applyFont="1" applyFill="1" applyBorder="1" applyAlignment="1">
      <alignment horizontal="center" vertical="center" wrapText="1"/>
    </xf>
    <xf numFmtId="0" fontId="44" fillId="11" borderId="12" xfId="0" applyFont="1" applyFill="1" applyBorder="1" applyAlignment="1">
      <alignment horizontal="center" vertical="center" wrapText="1"/>
    </xf>
    <xf numFmtId="0" fontId="44" fillId="11" borderId="13" xfId="0" applyFont="1" applyFill="1" applyBorder="1" applyAlignment="1">
      <alignment horizontal="center" vertical="center" wrapText="1"/>
    </xf>
    <xf numFmtId="49" fontId="44" fillId="11" borderId="14" xfId="0" applyNumberFormat="1" applyFont="1" applyFill="1" applyBorder="1" applyAlignment="1">
      <alignment horizontal="center" vertical="center" wrapText="1"/>
    </xf>
    <xf numFmtId="49" fontId="44" fillId="11" borderId="15" xfId="0" applyNumberFormat="1" applyFont="1" applyFill="1" applyBorder="1" applyAlignment="1">
      <alignment horizontal="center" vertical="center" wrapText="1"/>
    </xf>
    <xf numFmtId="49" fontId="44" fillId="11" borderId="16" xfId="0" applyNumberFormat="1" applyFont="1" applyFill="1" applyBorder="1" applyAlignment="1">
      <alignment horizontal="center" vertical="center" wrapText="1"/>
    </xf>
    <xf numFmtId="0" fontId="44" fillId="9" borderId="11" xfId="0" applyFont="1" applyFill="1" applyBorder="1" applyAlignment="1">
      <alignment horizontal="center" vertical="center" wrapText="1"/>
    </xf>
    <xf numFmtId="0" fontId="44" fillId="9" borderId="12" xfId="0" applyFont="1" applyFill="1" applyBorder="1" applyAlignment="1">
      <alignment horizontal="center" vertical="center" wrapText="1"/>
    </xf>
    <xf numFmtId="0" fontId="44" fillId="9" borderId="13" xfId="0" applyFont="1" applyFill="1" applyBorder="1" applyAlignment="1">
      <alignment horizontal="center" vertical="center" wrapText="1"/>
    </xf>
    <xf numFmtId="49" fontId="44" fillId="9" borderId="14" xfId="0" applyNumberFormat="1" applyFont="1" applyFill="1" applyBorder="1" applyAlignment="1">
      <alignment horizontal="center" vertical="center" wrapText="1"/>
    </xf>
    <xf numFmtId="49" fontId="44" fillId="9" borderId="15" xfId="0" applyNumberFormat="1" applyFont="1" applyFill="1" applyBorder="1" applyAlignment="1">
      <alignment horizontal="center" vertical="center" wrapText="1"/>
    </xf>
    <xf numFmtId="49" fontId="44" fillId="9" borderId="16" xfId="0" applyNumberFormat="1" applyFont="1" applyFill="1" applyBorder="1" applyAlignment="1">
      <alignment horizontal="center" vertical="center" wrapText="1"/>
    </xf>
    <xf numFmtId="0" fontId="44" fillId="6" borderId="11" xfId="0" applyFont="1" applyFill="1" applyBorder="1" applyAlignment="1">
      <alignment horizontal="center" vertical="center" wrapText="1"/>
    </xf>
    <xf numFmtId="0" fontId="44" fillId="6" borderId="12" xfId="0" applyFont="1" applyFill="1" applyBorder="1" applyAlignment="1">
      <alignment horizontal="center" vertical="center" wrapText="1"/>
    </xf>
    <xf numFmtId="0" fontId="44" fillId="6" borderId="13" xfId="0" applyFont="1" applyFill="1" applyBorder="1" applyAlignment="1">
      <alignment horizontal="center" vertical="center" wrapText="1"/>
    </xf>
    <xf numFmtId="49" fontId="8" fillId="6" borderId="14" xfId="0" applyNumberFormat="1" applyFont="1" applyFill="1" applyBorder="1" applyAlignment="1">
      <alignment horizontal="center" vertical="center" wrapText="1"/>
    </xf>
    <xf numFmtId="49" fontId="8" fillId="6" borderId="15" xfId="0" applyNumberFormat="1" applyFont="1" applyFill="1" applyBorder="1" applyAlignment="1">
      <alignment horizontal="center" vertical="center" wrapText="1"/>
    </xf>
    <xf numFmtId="49" fontId="8" fillId="6" borderId="16" xfId="0" applyNumberFormat="1" applyFont="1" applyFill="1" applyBorder="1" applyAlignment="1">
      <alignment horizontal="center" vertical="center" wrapText="1"/>
    </xf>
    <xf numFmtId="49" fontId="8" fillId="10" borderId="14" xfId="0" applyNumberFormat="1" applyFont="1" applyFill="1" applyBorder="1" applyAlignment="1">
      <alignment horizontal="center" vertical="center" wrapText="1"/>
    </xf>
    <xf numFmtId="49" fontId="8" fillId="10" borderId="15" xfId="0" applyNumberFormat="1" applyFont="1" applyFill="1" applyBorder="1" applyAlignment="1">
      <alignment horizontal="center" vertical="center" wrapText="1"/>
    </xf>
    <xf numFmtId="49" fontId="8" fillId="10" borderId="16" xfId="0" applyNumberFormat="1" applyFont="1" applyFill="1" applyBorder="1" applyAlignment="1">
      <alignment horizontal="center" vertical="center" wrapText="1"/>
    </xf>
    <xf numFmtId="0" fontId="44" fillId="10" borderId="11" xfId="0" applyFont="1" applyFill="1" applyBorder="1" applyAlignment="1">
      <alignment horizontal="center" vertical="center" wrapText="1"/>
    </xf>
    <xf numFmtId="0" fontId="44" fillId="10" borderId="12" xfId="0" applyFont="1" applyFill="1" applyBorder="1" applyAlignment="1">
      <alignment horizontal="center" vertical="center" wrapText="1"/>
    </xf>
    <xf numFmtId="0" fontId="44" fillId="10" borderId="13" xfId="0" applyFont="1" applyFill="1" applyBorder="1" applyAlignment="1">
      <alignment horizontal="center" vertical="center" wrapText="1"/>
    </xf>
    <xf numFmtId="0" fontId="44" fillId="9" borderId="6" xfId="0" applyFont="1" applyFill="1" applyBorder="1" applyAlignment="1">
      <alignment horizontal="center" vertical="center" wrapText="1"/>
    </xf>
    <xf numFmtId="49" fontId="44" fillId="6" borderId="11" xfId="0" applyNumberFormat="1" applyFont="1" applyFill="1" applyBorder="1" applyAlignment="1">
      <alignment horizontal="center" vertical="center" wrapText="1"/>
    </xf>
    <xf numFmtId="49" fontId="44" fillId="6" borderId="12" xfId="0" applyNumberFormat="1" applyFont="1" applyFill="1" applyBorder="1" applyAlignment="1">
      <alignment horizontal="center" vertical="center" wrapText="1"/>
    </xf>
    <xf numFmtId="49" fontId="44" fillId="6" borderId="13" xfId="0" applyNumberFormat="1" applyFont="1" applyFill="1" applyBorder="1" applyAlignment="1">
      <alignment horizontal="center" vertical="center" wrapText="1"/>
    </xf>
    <xf numFmtId="49" fontId="44" fillId="10" borderId="11" xfId="0" applyNumberFormat="1" applyFont="1" applyFill="1" applyBorder="1" applyAlignment="1">
      <alignment horizontal="center" vertical="center" wrapText="1"/>
    </xf>
    <xf numFmtId="49" fontId="44" fillId="10" borderId="12" xfId="0" applyNumberFormat="1" applyFont="1" applyFill="1" applyBorder="1" applyAlignment="1">
      <alignment horizontal="center" vertical="center" wrapText="1"/>
    </xf>
    <xf numFmtId="49" fontId="44" fillId="10" borderId="13" xfId="0" applyNumberFormat="1" applyFont="1" applyFill="1" applyBorder="1" applyAlignment="1">
      <alignment horizontal="center" vertical="center" wrapText="1"/>
    </xf>
    <xf numFmtId="49" fontId="44" fillId="2" borderId="11" xfId="0" applyNumberFormat="1" applyFont="1" applyFill="1" applyBorder="1" applyAlignment="1">
      <alignment horizontal="center" vertical="center" wrapText="1"/>
    </xf>
    <xf numFmtId="49" fontId="44" fillId="2" borderId="12" xfId="0" applyNumberFormat="1" applyFont="1" applyFill="1" applyBorder="1" applyAlignment="1">
      <alignment horizontal="center" vertical="center" wrapText="1"/>
    </xf>
    <xf numFmtId="49" fontId="44" fillId="2" borderId="13" xfId="0" applyNumberFormat="1" applyFont="1" applyFill="1" applyBorder="1" applyAlignment="1">
      <alignment horizontal="center" vertical="center" wrapText="1"/>
    </xf>
    <xf numFmtId="49" fontId="44" fillId="11" borderId="11" xfId="0" applyNumberFormat="1" applyFont="1" applyFill="1" applyBorder="1" applyAlignment="1">
      <alignment horizontal="center" vertical="center" wrapText="1"/>
    </xf>
    <xf numFmtId="49" fontId="44" fillId="11" borderId="12" xfId="0" applyNumberFormat="1" applyFont="1" applyFill="1" applyBorder="1" applyAlignment="1">
      <alignment horizontal="center" vertical="center" wrapText="1"/>
    </xf>
    <xf numFmtId="49" fontId="44" fillId="11" borderId="13" xfId="0" applyNumberFormat="1" applyFont="1" applyFill="1" applyBorder="1" applyAlignment="1">
      <alignment horizontal="center" vertical="center" wrapText="1"/>
    </xf>
    <xf numFmtId="49" fontId="44" fillId="9" borderId="11" xfId="0" applyNumberFormat="1" applyFont="1" applyFill="1" applyBorder="1" applyAlignment="1">
      <alignment horizontal="center" vertical="center" wrapText="1"/>
    </xf>
    <xf numFmtId="49" fontId="44" fillId="9" borderId="12" xfId="0" applyNumberFormat="1" applyFont="1" applyFill="1" applyBorder="1" applyAlignment="1">
      <alignment horizontal="center" vertical="center" wrapText="1"/>
    </xf>
    <xf numFmtId="49" fontId="44" fillId="9" borderId="13" xfId="0" applyNumberFormat="1" applyFont="1" applyFill="1" applyBorder="1" applyAlignment="1">
      <alignment horizontal="center" vertical="center" wrapText="1"/>
    </xf>
    <xf numFmtId="49" fontId="44" fillId="10" borderId="3" xfId="0" applyNumberFormat="1" applyFont="1" applyFill="1" applyBorder="1" applyAlignment="1">
      <alignment horizontal="center" vertical="center" wrapText="1"/>
    </xf>
    <xf numFmtId="49" fontId="44" fillId="10" borderId="7" xfId="0" applyNumberFormat="1" applyFont="1" applyFill="1" applyBorder="1" applyAlignment="1">
      <alignment horizontal="center" vertical="center" wrapText="1"/>
    </xf>
    <xf numFmtId="0" fontId="44" fillId="10" borderId="3" xfId="0" applyFont="1" applyFill="1" applyBorder="1" applyAlignment="1">
      <alignment horizontal="center" vertical="center" wrapText="1"/>
    </xf>
    <xf numFmtId="0" fontId="44" fillId="10" borderId="7" xfId="0" applyFont="1" applyFill="1" applyBorder="1" applyAlignment="1">
      <alignment horizontal="center" vertical="center" wrapText="1"/>
    </xf>
    <xf numFmtId="49" fontId="44" fillId="10" borderId="14" xfId="0" applyNumberFormat="1" applyFont="1" applyFill="1" applyBorder="1" applyAlignment="1">
      <alignment horizontal="center" vertical="center" wrapText="1"/>
    </xf>
    <xf numFmtId="49" fontId="44" fillId="10" borderId="15" xfId="0" applyNumberFormat="1" applyFont="1" applyFill="1" applyBorder="1" applyAlignment="1">
      <alignment horizontal="center" vertical="center" wrapText="1"/>
    </xf>
    <xf numFmtId="49" fontId="44" fillId="10" borderId="16" xfId="0" applyNumberFormat="1" applyFont="1" applyFill="1" applyBorder="1" applyAlignment="1">
      <alignment horizontal="center" vertical="center" wrapText="1"/>
    </xf>
    <xf numFmtId="49" fontId="44" fillId="2" borderId="14" xfId="0" applyNumberFormat="1" applyFont="1" applyFill="1" applyBorder="1" applyAlignment="1">
      <alignment horizontal="center" vertical="center" wrapText="1"/>
    </xf>
    <xf numFmtId="49" fontId="44" fillId="2" borderId="15" xfId="0" applyNumberFormat="1" applyFont="1" applyFill="1" applyBorder="1" applyAlignment="1">
      <alignment horizontal="center" vertical="center" wrapText="1"/>
    </xf>
    <xf numFmtId="49" fontId="44" fillId="2" borderId="16" xfId="0" applyNumberFormat="1" applyFont="1" applyFill="1" applyBorder="1" applyAlignment="1">
      <alignment horizontal="center" vertical="center" wrapText="1"/>
    </xf>
    <xf numFmtId="0" fontId="44" fillId="2" borderId="11" xfId="0" applyFont="1" applyFill="1" applyBorder="1" applyAlignment="1">
      <alignment horizontal="center" vertical="center" wrapText="1"/>
    </xf>
    <xf numFmtId="0" fontId="44" fillId="2" borderId="12" xfId="0" applyFont="1" applyFill="1" applyBorder="1" applyAlignment="1">
      <alignment horizontal="center" vertical="center" wrapText="1"/>
    </xf>
    <xf numFmtId="0" fontId="44" fillId="2" borderId="13" xfId="0" applyFont="1" applyFill="1" applyBorder="1" applyAlignment="1">
      <alignment horizontal="center" vertical="center" wrapText="1"/>
    </xf>
    <xf numFmtId="0" fontId="6" fillId="2" borderId="24"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5" xfId="0" applyFont="1" applyFill="1" applyBorder="1" applyAlignment="1">
      <alignment horizontal="center" vertical="center"/>
    </xf>
    <xf numFmtId="0" fontId="19" fillId="3" borderId="32" xfId="2" applyFont="1" applyFill="1" applyBorder="1" applyAlignment="1">
      <alignment horizontal="center" vertical="center" wrapText="1"/>
    </xf>
    <xf numFmtId="0" fontId="19" fillId="3" borderId="33" xfId="2" applyFont="1" applyFill="1" applyBorder="1" applyAlignment="1">
      <alignment horizontal="center" vertical="center" wrapText="1"/>
    </xf>
    <xf numFmtId="0" fontId="23" fillId="6" borderId="14" xfId="0" applyFont="1" applyFill="1" applyBorder="1" applyAlignment="1">
      <alignment horizontal="center" vertical="center" textRotation="90" wrapText="1"/>
    </xf>
    <xf numFmtId="0" fontId="23" fillId="6" borderId="15" xfId="0" applyFont="1" applyFill="1" applyBorder="1" applyAlignment="1">
      <alignment horizontal="center" vertical="center" textRotation="90" wrapText="1"/>
    </xf>
    <xf numFmtId="0" fontId="23" fillId="6" borderId="16" xfId="0" applyFont="1" applyFill="1" applyBorder="1" applyAlignment="1">
      <alignment horizontal="center" vertical="center" textRotation="90" wrapText="1"/>
    </xf>
    <xf numFmtId="0" fontId="19" fillId="2" borderId="37" xfId="2" applyFont="1" applyFill="1" applyBorder="1" applyAlignment="1">
      <alignment horizontal="center" vertical="center" wrapText="1"/>
    </xf>
    <xf numFmtId="0" fontId="19" fillId="2" borderId="83" xfId="2" applyFont="1" applyFill="1" applyBorder="1" applyAlignment="1">
      <alignment horizontal="center" vertical="center" wrapText="1"/>
    </xf>
    <xf numFmtId="0" fontId="19" fillId="2" borderId="38" xfId="2" applyFont="1" applyFill="1" applyBorder="1" applyAlignment="1">
      <alignment horizontal="center" vertical="center" wrapText="1"/>
    </xf>
    <xf numFmtId="0" fontId="19" fillId="2" borderId="39" xfId="2" applyFont="1" applyFill="1" applyBorder="1" applyAlignment="1">
      <alignment horizontal="center" vertical="center" wrapText="1"/>
    </xf>
    <xf numFmtId="0" fontId="19" fillId="2" borderId="40" xfId="2" applyFont="1" applyFill="1" applyBorder="1" applyAlignment="1">
      <alignment horizontal="center" vertical="center" wrapText="1"/>
    </xf>
    <xf numFmtId="0" fontId="19" fillId="2" borderId="42" xfId="2" applyFont="1" applyFill="1" applyBorder="1" applyAlignment="1">
      <alignment horizontal="center" vertical="center" wrapText="1"/>
    </xf>
    <xf numFmtId="0" fontId="19" fillId="2" borderId="41" xfId="2" applyFont="1" applyFill="1" applyBorder="1" applyAlignment="1">
      <alignment horizontal="center" vertical="center" wrapText="1"/>
    </xf>
    <xf numFmtId="0" fontId="19" fillId="2" borderId="43" xfId="2" applyFont="1" applyFill="1" applyBorder="1" applyAlignment="1">
      <alignment horizontal="center" vertical="center" wrapText="1"/>
    </xf>
    <xf numFmtId="9" fontId="41" fillId="0" borderId="87" xfId="0" applyNumberFormat="1" applyFont="1" applyBorder="1" applyAlignment="1" applyProtection="1">
      <alignment horizontal="center" vertical="center"/>
      <protection hidden="1"/>
    </xf>
    <xf numFmtId="9" fontId="41" fillId="0" borderId="88" xfId="0" applyNumberFormat="1" applyFont="1" applyBorder="1" applyAlignment="1" applyProtection="1">
      <alignment horizontal="center" vertical="center"/>
      <protection hidden="1"/>
    </xf>
    <xf numFmtId="9" fontId="28" fillId="7" borderId="84" xfId="1" applyFont="1" applyFill="1" applyBorder="1" applyAlignment="1" applyProtection="1">
      <alignment horizontal="center" vertical="center"/>
      <protection hidden="1"/>
    </xf>
    <xf numFmtId="9" fontId="28" fillId="7" borderId="85" xfId="1" applyFont="1" applyFill="1" applyBorder="1" applyAlignment="1" applyProtection="1">
      <alignment horizontal="center" vertical="center"/>
      <protection hidden="1"/>
    </xf>
    <xf numFmtId="9" fontId="28" fillId="7" borderId="86" xfId="1" applyFont="1" applyFill="1" applyBorder="1" applyAlignment="1" applyProtection="1">
      <alignment horizontal="center" vertical="center"/>
      <protection hidden="1"/>
    </xf>
    <xf numFmtId="0" fontId="27" fillId="9" borderId="14" xfId="0" applyFont="1" applyFill="1" applyBorder="1" applyAlignment="1">
      <alignment horizontal="center" vertical="center" textRotation="90"/>
    </xf>
    <xf numFmtId="0" fontId="27" fillId="9" borderId="15" xfId="0" applyFont="1" applyFill="1" applyBorder="1" applyAlignment="1">
      <alignment horizontal="center" vertical="center" textRotation="90"/>
    </xf>
    <xf numFmtId="0" fontId="27" fillId="9" borderId="16" xfId="0" applyFont="1" applyFill="1" applyBorder="1" applyAlignment="1">
      <alignment horizontal="center" vertical="center" textRotation="90"/>
    </xf>
    <xf numFmtId="9" fontId="41" fillId="4" borderId="87" xfId="0" applyNumberFormat="1" applyFont="1" applyFill="1" applyBorder="1" applyAlignment="1" applyProtection="1">
      <alignment horizontal="center" vertical="center"/>
      <protection hidden="1"/>
    </xf>
    <xf numFmtId="9" fontId="41" fillId="4" borderId="88" xfId="0" applyNumberFormat="1" applyFont="1" applyFill="1" applyBorder="1" applyAlignment="1" applyProtection="1">
      <alignment horizontal="center" vertical="center"/>
      <protection hidden="1"/>
    </xf>
    <xf numFmtId="9" fontId="41" fillId="4" borderId="89" xfId="0" applyNumberFormat="1" applyFont="1" applyFill="1" applyBorder="1" applyAlignment="1" applyProtection="1">
      <alignment horizontal="center" vertical="center"/>
      <protection hidden="1"/>
    </xf>
    <xf numFmtId="0" fontId="27" fillId="11" borderId="15" xfId="0" applyFont="1" applyFill="1" applyBorder="1" applyAlignment="1">
      <alignment horizontal="center" vertical="center" textRotation="90"/>
    </xf>
    <xf numFmtId="0" fontId="27" fillId="2" borderId="14" xfId="0" applyFont="1" applyFill="1" applyBorder="1" applyAlignment="1">
      <alignment horizontal="center" vertical="center" textRotation="90"/>
    </xf>
    <xf numFmtId="0" fontId="27" fillId="2" borderId="15" xfId="0" applyFont="1" applyFill="1" applyBorder="1" applyAlignment="1">
      <alignment horizontal="center" vertical="center" textRotation="90"/>
    </xf>
    <xf numFmtId="0" fontId="27" fillId="2" borderId="16" xfId="0" applyFont="1" applyFill="1" applyBorder="1" applyAlignment="1">
      <alignment horizontal="center" vertical="center" textRotation="90"/>
    </xf>
    <xf numFmtId="9" fontId="41" fillId="0" borderId="89" xfId="0" applyNumberFormat="1" applyFont="1" applyBorder="1" applyAlignment="1" applyProtection="1">
      <alignment horizontal="center" vertical="center"/>
      <protection hidden="1"/>
    </xf>
    <xf numFmtId="0" fontId="27" fillId="10" borderId="14" xfId="0" applyFont="1" applyFill="1" applyBorder="1" applyAlignment="1">
      <alignment horizontal="center" vertical="center" textRotation="90"/>
    </xf>
    <xf numFmtId="0" fontId="27" fillId="10" borderId="15" xfId="0" applyFont="1" applyFill="1" applyBorder="1" applyAlignment="1">
      <alignment horizontal="center" vertical="center" textRotation="90"/>
    </xf>
    <xf numFmtId="0" fontId="0" fillId="0" borderId="24" xfId="0"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52" fillId="12" borderId="0" xfId="0" applyFont="1" applyFill="1" applyAlignment="1">
      <alignment horizontal="center" vertical="center" wrapText="1"/>
    </xf>
    <xf numFmtId="0" fontId="57" fillId="0" borderId="24" xfId="0" applyFont="1" applyBorder="1" applyAlignment="1" applyProtection="1">
      <alignment horizontal="center" vertical="center" wrapText="1"/>
      <protection locked="0"/>
    </xf>
    <xf numFmtId="0" fontId="57" fillId="0" borderId="1" xfId="0" applyFont="1" applyBorder="1" applyAlignment="1" applyProtection="1">
      <alignment horizontal="center" vertical="center"/>
      <protection locked="0"/>
    </xf>
    <xf numFmtId="0" fontId="57" fillId="0" borderId="25" xfId="0" applyFont="1" applyBorder="1" applyAlignment="1" applyProtection="1">
      <alignment horizontal="center" vertical="center"/>
      <protection locked="0"/>
    </xf>
    <xf numFmtId="0" fontId="0" fillId="0" borderId="73" xfId="0" applyBorder="1" applyAlignment="1">
      <alignment horizontal="center" vertical="center"/>
    </xf>
    <xf numFmtId="0" fontId="0" fillId="0" borderId="1" xfId="0" applyBorder="1" applyAlignment="1">
      <alignment horizontal="center" vertical="center"/>
    </xf>
    <xf numFmtId="49" fontId="49" fillId="4" borderId="91" xfId="0" applyNumberFormat="1" applyFont="1" applyFill="1" applyBorder="1" applyAlignment="1">
      <alignment horizontal="left" vertical="center" wrapText="1"/>
    </xf>
    <xf numFmtId="49" fontId="49" fillId="4" borderId="3" xfId="0" applyNumberFormat="1" applyFont="1" applyFill="1" applyBorder="1" applyAlignment="1">
      <alignment horizontal="left" vertical="center" wrapText="1"/>
    </xf>
    <xf numFmtId="49" fontId="49" fillId="4" borderId="92" xfId="0" applyNumberFormat="1" applyFont="1" applyFill="1" applyBorder="1" applyAlignment="1">
      <alignment horizontal="left" vertical="center" wrapText="1"/>
    </xf>
    <xf numFmtId="49" fontId="49" fillId="4" borderId="4" xfId="0" applyNumberFormat="1" applyFont="1" applyFill="1" applyBorder="1" applyAlignment="1">
      <alignment horizontal="left" vertical="center" wrapText="1"/>
    </xf>
    <xf numFmtId="0" fontId="51" fillId="2" borderId="7" xfId="0" applyFont="1" applyFill="1" applyBorder="1" applyAlignment="1">
      <alignment horizontal="center" vertical="center" wrapText="1"/>
    </xf>
    <xf numFmtId="0" fontId="51" fillId="2" borderId="6" xfId="0" applyFont="1" applyFill="1" applyBorder="1" applyAlignment="1">
      <alignment horizontal="center" vertical="center" wrapText="1"/>
    </xf>
    <xf numFmtId="0" fontId="56" fillId="4" borderId="3" xfId="0" applyFont="1" applyFill="1" applyBorder="1" applyAlignment="1" applyProtection="1">
      <alignment horizontal="center" vertical="center"/>
      <protection locked="0"/>
    </xf>
    <xf numFmtId="164" fontId="56" fillId="4" borderId="22" xfId="0" applyNumberFormat="1" applyFont="1" applyFill="1" applyBorder="1" applyAlignment="1" applyProtection="1">
      <alignment horizontal="center" vertical="center"/>
      <protection locked="0"/>
    </xf>
    <xf numFmtId="164" fontId="56" fillId="4" borderId="23" xfId="0" applyNumberFormat="1" applyFont="1" applyFill="1" applyBorder="1" applyAlignment="1" applyProtection="1">
      <alignment horizontal="center" vertical="center"/>
      <protection locked="0"/>
    </xf>
    <xf numFmtId="164" fontId="56" fillId="4" borderId="9" xfId="0" applyNumberFormat="1" applyFont="1" applyFill="1" applyBorder="1" applyAlignment="1" applyProtection="1">
      <alignment horizontal="center" vertical="center"/>
      <protection locked="0"/>
    </xf>
    <xf numFmtId="0" fontId="52" fillId="2" borderId="24" xfId="0" applyFont="1" applyFill="1" applyBorder="1" applyAlignment="1">
      <alignment horizontal="center" vertical="center" wrapText="1"/>
    </xf>
    <xf numFmtId="0" fontId="52" fillId="2" borderId="1" xfId="0" applyFont="1" applyFill="1" applyBorder="1" applyAlignment="1">
      <alignment horizontal="center" vertical="center" wrapText="1"/>
    </xf>
    <xf numFmtId="0" fontId="52" fillId="2" borderId="25" xfId="0" applyFont="1" applyFill="1" applyBorder="1" applyAlignment="1">
      <alignment horizontal="center" vertical="center" wrapText="1"/>
    </xf>
    <xf numFmtId="0" fontId="9" fillId="2" borderId="27" xfId="0" applyFont="1" applyFill="1" applyBorder="1" applyAlignment="1">
      <alignment horizontal="center" vertical="center"/>
    </xf>
    <xf numFmtId="0" fontId="9" fillId="2" borderId="28" xfId="0" applyFont="1" applyFill="1" applyBorder="1" applyAlignment="1">
      <alignment horizontal="center" vertical="center"/>
    </xf>
    <xf numFmtId="0" fontId="9" fillId="2" borderId="29" xfId="0" applyFont="1" applyFill="1" applyBorder="1" applyAlignment="1">
      <alignment horizontal="center" vertical="center"/>
    </xf>
    <xf numFmtId="49" fontId="49" fillId="4" borderId="90" xfId="0" applyNumberFormat="1" applyFont="1" applyFill="1" applyBorder="1" applyAlignment="1">
      <alignment horizontal="left" vertical="center" wrapText="1"/>
    </xf>
    <xf numFmtId="49" fontId="49" fillId="4" borderId="2" xfId="0" applyNumberFormat="1" applyFont="1" applyFill="1" applyBorder="1" applyAlignment="1">
      <alignment horizontal="left" vertical="center" wrapText="1"/>
    </xf>
    <xf numFmtId="49" fontId="0" fillId="4" borderId="2" xfId="0" applyNumberFormat="1" applyFill="1" applyBorder="1" applyAlignment="1" applyProtection="1">
      <alignment horizontal="center" vertical="center" wrapText="1"/>
      <protection locked="0"/>
    </xf>
    <xf numFmtId="49" fontId="0" fillId="4" borderId="84" xfId="0" applyNumberFormat="1" applyFill="1" applyBorder="1" applyAlignment="1" applyProtection="1">
      <alignment horizontal="center" vertical="center" wrapText="1"/>
      <protection locked="0"/>
    </xf>
    <xf numFmtId="49" fontId="0" fillId="4" borderId="4" xfId="0" applyNumberFormat="1" applyFill="1" applyBorder="1" applyAlignment="1" applyProtection="1">
      <alignment horizontal="center" vertical="center" wrapText="1"/>
      <protection locked="0"/>
    </xf>
    <xf numFmtId="49" fontId="0" fillId="4" borderId="86" xfId="0" applyNumberFormat="1" applyFill="1" applyBorder="1" applyAlignment="1" applyProtection="1">
      <alignment horizontal="center" vertical="center" wrapText="1"/>
      <protection locked="0"/>
    </xf>
  </cellXfs>
  <cellStyles count="5">
    <cellStyle name="Normal" xfId="0" builtinId="0"/>
    <cellStyle name="Normal - Style1 2" xfId="3" xr:uid="{00000000-0005-0000-0000-000001000000}"/>
    <cellStyle name="Normal 2" xfId="2" xr:uid="{00000000-0005-0000-0000-000002000000}"/>
    <cellStyle name="Normal 2 2" xfId="4" xr:uid="{00000000-0005-0000-0000-000003000000}"/>
    <cellStyle name="Porcentaje" xfId="1" builtinId="5"/>
  </cellStyles>
  <dxfs count="20">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1050132</xdr:colOff>
      <xdr:row>0</xdr:row>
      <xdr:rowOff>66818</xdr:rowOff>
    </xdr:from>
    <xdr:to>
      <xdr:col>6</xdr:col>
      <xdr:colOff>821532</xdr:colOff>
      <xdr:row>11</xdr:row>
      <xdr:rowOff>47624</xdr:rowOff>
    </xdr:to>
    <xdr:pic>
      <xdr:nvPicPr>
        <xdr:cNvPr id="2" name="Imagen 1">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7169945" y="66818"/>
          <a:ext cx="3676650" cy="23382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281667</xdr:colOff>
      <xdr:row>7</xdr:row>
      <xdr:rowOff>102768</xdr:rowOff>
    </xdr:from>
    <xdr:to>
      <xdr:col>6</xdr:col>
      <xdr:colOff>595313</xdr:colOff>
      <xdr:row>14</xdr:row>
      <xdr:rowOff>55289</xdr:rowOff>
    </xdr:to>
    <xdr:pic>
      <xdr:nvPicPr>
        <xdr:cNvPr id="4" name="Imagen 3">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4567917" y="2037534"/>
          <a:ext cx="3959935" cy="23486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anapaolaospinabarrera/Library/Containers/com.microsoft.Excel/Data/Documents/C:/Users/dell/Desktop/cesar/HISTORICOS/2020-04-22_Formato_informe_sci_parametrizado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 de Resultad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4"/>
  <sheetViews>
    <sheetView zoomScale="90" zoomScaleNormal="90" workbookViewId="0">
      <selection activeCell="B6" sqref="B6:H7"/>
    </sheetView>
  </sheetViews>
  <sheetFormatPr baseColWidth="10" defaultColWidth="0" defaultRowHeight="12.75" zeroHeight="1" x14ac:dyDescent="0.2"/>
  <cols>
    <col min="1" max="1" width="3.85546875" style="38" customWidth="1"/>
    <col min="2" max="2" width="15.28515625" style="38" customWidth="1"/>
    <col min="3" max="3" width="17.28515625" style="38" customWidth="1"/>
    <col min="4" max="4" width="28.42578125" style="38" customWidth="1"/>
    <col min="5" max="5" width="12.85546875" style="38" customWidth="1"/>
    <col min="6" max="6" width="47.140625" style="38" customWidth="1"/>
    <col min="7" max="7" width="21.42578125" style="38" customWidth="1"/>
    <col min="8" max="8" width="6.42578125" style="38" customWidth="1"/>
    <col min="9" max="9" width="2.42578125" style="38" customWidth="1"/>
    <col min="10" max="16384" width="11.42578125" style="38" hidden="1"/>
  </cols>
  <sheetData>
    <row r="1" spans="2:8" ht="13.5" thickBot="1" x14ac:dyDescent="0.25"/>
    <row r="2" spans="2:8" ht="73.5" customHeight="1" x14ac:dyDescent="0.2">
      <c r="B2" s="200" t="s">
        <v>0</v>
      </c>
      <c r="C2" s="201"/>
      <c r="D2" s="201"/>
      <c r="E2" s="201"/>
      <c r="F2" s="201"/>
      <c r="G2" s="201"/>
      <c r="H2" s="202"/>
    </row>
    <row r="3" spans="2:8" ht="65.25" customHeight="1" x14ac:dyDescent="0.2">
      <c r="B3" s="203" t="s">
        <v>1</v>
      </c>
      <c r="C3" s="204"/>
      <c r="D3" s="204"/>
      <c r="E3" s="204"/>
      <c r="F3" s="204"/>
      <c r="G3" s="204"/>
      <c r="H3" s="205"/>
    </row>
    <row r="4" spans="2:8" ht="82.5" customHeight="1" x14ac:dyDescent="0.2">
      <c r="B4" s="203"/>
      <c r="C4" s="204"/>
      <c r="D4" s="204"/>
      <c r="E4" s="204"/>
      <c r="F4" s="204"/>
      <c r="G4" s="204"/>
      <c r="H4" s="205"/>
    </row>
    <row r="5" spans="2:8" ht="21.75" customHeight="1" x14ac:dyDescent="0.2">
      <c r="B5" s="206" t="s">
        <v>2</v>
      </c>
      <c r="C5" s="207"/>
      <c r="D5" s="207"/>
      <c r="E5" s="207"/>
      <c r="F5" s="207"/>
      <c r="G5" s="207"/>
      <c r="H5" s="208"/>
    </row>
    <row r="6" spans="2:8" ht="42" customHeight="1" x14ac:dyDescent="0.2">
      <c r="B6" s="209" t="s">
        <v>3</v>
      </c>
      <c r="C6" s="210"/>
      <c r="D6" s="210"/>
      <c r="E6" s="210"/>
      <c r="F6" s="210"/>
      <c r="G6" s="210"/>
      <c r="H6" s="211"/>
    </row>
    <row r="7" spans="2:8" ht="14.25" customHeight="1" x14ac:dyDescent="0.2">
      <c r="B7" s="209"/>
      <c r="C7" s="210"/>
      <c r="D7" s="210"/>
      <c r="E7" s="210"/>
      <c r="F7" s="210"/>
      <c r="G7" s="210"/>
      <c r="H7" s="211"/>
    </row>
    <row r="8" spans="2:8" ht="12.75" customHeight="1" thickBot="1" x14ac:dyDescent="0.25">
      <c r="B8" s="50"/>
      <c r="C8" s="44"/>
      <c r="D8" s="59"/>
      <c r="E8" s="60"/>
      <c r="F8" s="60"/>
      <c r="G8" s="58"/>
      <c r="H8" s="52"/>
    </row>
    <row r="9" spans="2:8" ht="21" customHeight="1" thickTop="1" x14ac:dyDescent="0.2">
      <c r="B9" s="50"/>
      <c r="C9" s="212" t="s">
        <v>4</v>
      </c>
      <c r="D9" s="213"/>
      <c r="E9" s="214" t="s">
        <v>5</v>
      </c>
      <c r="F9" s="215"/>
      <c r="G9" s="44"/>
      <c r="H9" s="52"/>
    </row>
    <row r="10" spans="2:8" ht="37.5" customHeight="1" x14ac:dyDescent="0.2">
      <c r="B10" s="50"/>
      <c r="C10" s="192" t="s">
        <v>6</v>
      </c>
      <c r="D10" s="193"/>
      <c r="E10" s="194" t="s">
        <v>7</v>
      </c>
      <c r="F10" s="195"/>
      <c r="G10" s="44"/>
      <c r="H10" s="52"/>
    </row>
    <row r="11" spans="2:8" ht="39.75" customHeight="1" x14ac:dyDescent="0.2">
      <c r="B11" s="50"/>
      <c r="C11" s="196" t="s">
        <v>8</v>
      </c>
      <c r="D11" s="197"/>
      <c r="E11" s="173" t="s">
        <v>9</v>
      </c>
      <c r="F11" s="174"/>
      <c r="G11" s="44"/>
      <c r="H11" s="52"/>
    </row>
    <row r="12" spans="2:8" ht="59.25" customHeight="1" x14ac:dyDescent="0.2">
      <c r="B12" s="50"/>
      <c r="C12" s="196" t="s">
        <v>10</v>
      </c>
      <c r="D12" s="197"/>
      <c r="E12" s="198" t="s">
        <v>11</v>
      </c>
      <c r="F12" s="199"/>
      <c r="G12" s="44"/>
      <c r="H12" s="52"/>
    </row>
    <row r="13" spans="2:8" ht="33.75" customHeight="1" x14ac:dyDescent="0.2">
      <c r="B13" s="50"/>
      <c r="C13" s="171" t="s">
        <v>12</v>
      </c>
      <c r="D13" s="172"/>
      <c r="E13" s="173" t="s">
        <v>13</v>
      </c>
      <c r="F13" s="174"/>
      <c r="G13" s="44"/>
      <c r="H13" s="52"/>
    </row>
    <row r="14" spans="2:8" ht="19.5" customHeight="1" x14ac:dyDescent="0.2">
      <c r="B14" s="50"/>
      <c r="C14" s="56"/>
      <c r="D14" s="56"/>
      <c r="E14" s="57"/>
      <c r="F14" s="57"/>
      <c r="G14" s="44"/>
      <c r="H14" s="52"/>
    </row>
    <row r="15" spans="2:8" ht="37.5" customHeight="1" thickBot="1" x14ac:dyDescent="0.25">
      <c r="B15" s="167" t="s">
        <v>14</v>
      </c>
      <c r="C15" s="168"/>
      <c r="D15" s="168"/>
      <c r="E15" s="168"/>
      <c r="F15" s="168"/>
      <c r="G15" s="168"/>
      <c r="H15" s="169"/>
    </row>
    <row r="16" spans="2:8" ht="27.75" customHeight="1" thickBot="1" x14ac:dyDescent="0.25">
      <c r="B16" s="50"/>
      <c r="C16" s="175" t="s">
        <v>15</v>
      </c>
      <c r="D16" s="176"/>
      <c r="E16" s="176" t="s">
        <v>16</v>
      </c>
      <c r="F16" s="187"/>
      <c r="G16" s="44"/>
      <c r="H16" s="52"/>
    </row>
    <row r="17" spans="2:8" ht="27.75" customHeight="1" x14ac:dyDescent="0.2">
      <c r="B17" s="50"/>
      <c r="C17" s="188" t="s">
        <v>17</v>
      </c>
      <c r="D17" s="189"/>
      <c r="E17" s="190" t="s">
        <v>18</v>
      </c>
      <c r="F17" s="191"/>
      <c r="G17" s="87"/>
      <c r="H17" s="52"/>
    </row>
    <row r="18" spans="2:8" ht="41.25" customHeight="1" x14ac:dyDescent="0.2">
      <c r="B18" s="50"/>
      <c r="C18" s="177" t="s">
        <v>19</v>
      </c>
      <c r="D18" s="178"/>
      <c r="E18" s="179" t="s">
        <v>20</v>
      </c>
      <c r="F18" s="180"/>
      <c r="G18" s="88"/>
      <c r="H18" s="52"/>
    </row>
    <row r="19" spans="2:8" ht="37.5" customHeight="1" thickBot="1" x14ac:dyDescent="0.25">
      <c r="B19" s="50"/>
      <c r="C19" s="181" t="s">
        <v>21</v>
      </c>
      <c r="D19" s="182"/>
      <c r="E19" s="183" t="s">
        <v>22</v>
      </c>
      <c r="F19" s="184"/>
      <c r="G19" s="88"/>
      <c r="H19" s="52"/>
    </row>
    <row r="20" spans="2:8" ht="11.25" customHeight="1" x14ac:dyDescent="0.2">
      <c r="B20" s="45"/>
      <c r="C20" s="46"/>
      <c r="D20" s="46"/>
      <c r="E20" s="46"/>
      <c r="F20" s="46"/>
      <c r="G20" s="46"/>
      <c r="H20" s="47"/>
    </row>
    <row r="21" spans="2:8" ht="14.25" customHeight="1" x14ac:dyDescent="0.2">
      <c r="B21" s="48"/>
      <c r="C21" s="185"/>
      <c r="D21" s="185"/>
      <c r="E21" s="186"/>
      <c r="F21" s="186"/>
      <c r="G21" s="186"/>
      <c r="H21" s="49"/>
    </row>
    <row r="22" spans="2:8" ht="36" customHeight="1" x14ac:dyDescent="0.2">
      <c r="B22" s="167" t="s">
        <v>23</v>
      </c>
      <c r="C22" s="168"/>
      <c r="D22" s="168"/>
      <c r="E22" s="168"/>
      <c r="F22" s="168"/>
      <c r="G22" s="168"/>
      <c r="H22" s="169"/>
    </row>
    <row r="23" spans="2:8" ht="13.5" x14ac:dyDescent="0.2">
      <c r="B23" s="50"/>
      <c r="C23" s="51"/>
      <c r="D23" s="51"/>
      <c r="E23" s="170"/>
      <c r="F23" s="170"/>
      <c r="G23" s="44"/>
      <c r="H23" s="52"/>
    </row>
    <row r="24" spans="2:8" ht="13.5" thickBot="1" x14ac:dyDescent="0.25">
      <c r="B24" s="53"/>
      <c r="C24" s="54"/>
      <c r="D24" s="54"/>
      <c r="E24" s="54"/>
      <c r="F24" s="54"/>
      <c r="G24" s="54"/>
      <c r="H24" s="55"/>
    </row>
    <row r="25" spans="2:8" x14ac:dyDescent="0.2"/>
    <row r="26" spans="2:8" ht="29.25" customHeight="1" x14ac:dyDescent="0.2"/>
    <row r="27" spans="2:8" ht="26.25" customHeight="1" x14ac:dyDescent="0.2"/>
    <row r="28" spans="2:8" ht="43.5" customHeight="1" x14ac:dyDescent="0.2"/>
    <row r="29" spans="2:8" ht="53.25" customHeight="1" x14ac:dyDescent="0.2"/>
    <row r="30" spans="2:8" x14ac:dyDescent="0.2"/>
    <row r="31" spans="2:8" x14ac:dyDescent="0.2"/>
    <row r="32" spans="2:8" x14ac:dyDescent="0.2"/>
    <row r="33" x14ac:dyDescent="0.2"/>
    <row r="34" x14ac:dyDescent="0.2"/>
    <row r="35"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x14ac:dyDescent="0.2"/>
    <row r="52" x14ac:dyDescent="0.2"/>
    <row r="54" x14ac:dyDescent="0.2"/>
  </sheetData>
  <sheetProtection algorithmName="SHA-512" hashValue="t7sIeOvFa2bhukBsHVcHmO5gG9cifT20ZR8W/o5PL1FLs7w8K+KkEm6wLVbMVfYFM8W9luBRuNKu+qdhAWPM7w==" saltValue="H/shNuEdnFDauevCofk8Sw==" spinCount="100000" sheet="1" objects="1" scenarios="1"/>
  <mergeCells count="27">
    <mergeCell ref="B2:H2"/>
    <mergeCell ref="B3:H4"/>
    <mergeCell ref="B5:H5"/>
    <mergeCell ref="B6:H7"/>
    <mergeCell ref="C9:D9"/>
    <mergeCell ref="E9:F9"/>
    <mergeCell ref="C10:D10"/>
    <mergeCell ref="E10:F10"/>
    <mergeCell ref="C11:D11"/>
    <mergeCell ref="E11:F11"/>
    <mergeCell ref="C12:D12"/>
    <mergeCell ref="E12:F12"/>
    <mergeCell ref="B22:H22"/>
    <mergeCell ref="E23:F23"/>
    <mergeCell ref="C13:D13"/>
    <mergeCell ref="E13:F13"/>
    <mergeCell ref="C16:D16"/>
    <mergeCell ref="C18:D18"/>
    <mergeCell ref="E18:F18"/>
    <mergeCell ref="C19:D19"/>
    <mergeCell ref="E19:F19"/>
    <mergeCell ref="C21:D21"/>
    <mergeCell ref="E21:G21"/>
    <mergeCell ref="B15:H15"/>
    <mergeCell ref="E16:F16"/>
    <mergeCell ref="C17:D17"/>
    <mergeCell ref="E17:F1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59"/>
  <sheetViews>
    <sheetView showGridLines="0" topLeftCell="E37" zoomScale="80" zoomScaleNormal="80" workbookViewId="0">
      <selection activeCell="G55" sqref="G55"/>
    </sheetView>
  </sheetViews>
  <sheetFormatPr baseColWidth="10" defaultColWidth="11.42578125" defaultRowHeight="16.5" x14ac:dyDescent="0.3"/>
  <cols>
    <col min="1" max="1" width="3" style="40" hidden="1" customWidth="1"/>
    <col min="2" max="2" width="9.42578125" style="40" customWidth="1"/>
    <col min="3" max="3" width="25.42578125" style="40" customWidth="1"/>
    <col min="4" max="4" width="58.7109375" style="40" customWidth="1"/>
    <col min="5" max="6" width="58.7109375" style="62" customWidth="1"/>
    <col min="7" max="9" width="58.7109375" style="40" customWidth="1"/>
    <col min="10" max="12" width="11.42578125" style="65" customWidth="1"/>
    <col min="13" max="24" width="11.42578125" style="40" customWidth="1"/>
    <col min="25" max="16384" width="11.42578125" style="40"/>
  </cols>
  <sheetData>
    <row r="1" spans="1:32" x14ac:dyDescent="0.3">
      <c r="B1" s="39"/>
      <c r="C1" s="39"/>
      <c r="D1" s="39"/>
      <c r="E1" s="61"/>
      <c r="F1" s="61"/>
      <c r="G1" s="39"/>
      <c r="H1" s="39"/>
      <c r="I1" s="39"/>
      <c r="J1" s="63"/>
      <c r="K1" s="63"/>
      <c r="L1" s="63"/>
      <c r="M1" s="39"/>
      <c r="N1" s="39"/>
      <c r="O1" s="39"/>
      <c r="P1" s="39"/>
      <c r="Q1" s="39"/>
      <c r="R1" s="39"/>
      <c r="S1" s="39"/>
      <c r="T1" s="39"/>
      <c r="U1" s="39"/>
      <c r="V1" s="39"/>
      <c r="W1" s="39"/>
      <c r="X1" s="39"/>
    </row>
    <row r="2" spans="1:32" x14ac:dyDescent="0.3">
      <c r="B2" s="39"/>
      <c r="C2" s="39"/>
      <c r="D2" s="39"/>
      <c r="E2" s="61"/>
      <c r="F2" s="61"/>
      <c r="G2" s="39"/>
      <c r="H2" s="39"/>
      <c r="I2" s="39"/>
      <c r="J2" s="63"/>
      <c r="K2" s="63"/>
      <c r="L2" s="63"/>
      <c r="M2" s="39"/>
      <c r="N2" s="39"/>
      <c r="O2" s="39"/>
      <c r="P2" s="39"/>
      <c r="Q2" s="39"/>
      <c r="R2" s="39"/>
      <c r="S2" s="39"/>
      <c r="T2" s="39"/>
      <c r="U2" s="39"/>
      <c r="V2" s="39"/>
      <c r="W2" s="39"/>
      <c r="X2" s="39"/>
    </row>
    <row r="3" spans="1:32" x14ac:dyDescent="0.3">
      <c r="B3" s="39"/>
      <c r="C3" s="39"/>
      <c r="D3" s="39"/>
      <c r="E3" s="61"/>
      <c r="F3" s="61"/>
      <c r="G3" s="39"/>
      <c r="H3" s="39"/>
      <c r="I3" s="39"/>
      <c r="J3" s="63"/>
      <c r="K3" s="63"/>
      <c r="L3" s="63"/>
      <c r="M3" s="39"/>
      <c r="N3" s="39"/>
      <c r="O3" s="39"/>
      <c r="P3" s="39"/>
      <c r="Q3" s="39"/>
      <c r="R3" s="39"/>
      <c r="S3" s="39"/>
      <c r="T3" s="39"/>
      <c r="U3" s="39"/>
      <c r="V3" s="39"/>
      <c r="W3" s="39"/>
      <c r="X3" s="39"/>
    </row>
    <row r="4" spans="1:32" x14ac:dyDescent="0.3">
      <c r="B4" s="39"/>
      <c r="C4" s="39"/>
      <c r="D4" s="39"/>
      <c r="E4" s="61"/>
      <c r="F4" s="61"/>
      <c r="G4" s="39"/>
      <c r="H4" s="39"/>
      <c r="I4" s="39"/>
      <c r="J4" s="63"/>
      <c r="K4" s="63"/>
      <c r="L4" s="63"/>
      <c r="M4" s="39"/>
      <c r="N4" s="39"/>
      <c r="O4" s="39"/>
      <c r="P4" s="39"/>
      <c r="Q4" s="39"/>
      <c r="R4" s="39"/>
      <c r="S4" s="39"/>
      <c r="T4" s="39"/>
      <c r="U4" s="39"/>
      <c r="V4" s="39"/>
      <c r="W4" s="39"/>
      <c r="X4" s="39"/>
    </row>
    <row r="5" spans="1:32" x14ac:dyDescent="0.3">
      <c r="B5" s="39"/>
      <c r="C5" s="39"/>
      <c r="D5" s="39"/>
      <c r="E5" s="61"/>
      <c r="F5" s="61"/>
      <c r="G5" s="39"/>
      <c r="H5" s="39"/>
      <c r="I5" s="39"/>
      <c r="J5" s="63"/>
      <c r="K5" s="63"/>
      <c r="L5" s="63"/>
      <c r="M5" s="39"/>
      <c r="N5" s="39"/>
      <c r="O5" s="39"/>
      <c r="P5" s="39"/>
      <c r="Q5" s="39"/>
      <c r="R5" s="39"/>
      <c r="S5" s="39"/>
      <c r="T5" s="39"/>
      <c r="U5" s="39"/>
      <c r="V5" s="39"/>
      <c r="W5" s="39"/>
      <c r="X5" s="39"/>
    </row>
    <row r="6" spans="1:32" x14ac:dyDescent="0.3">
      <c r="B6" s="39"/>
      <c r="C6" s="39"/>
      <c r="D6" s="39"/>
      <c r="E6" s="61"/>
      <c r="F6" s="61"/>
      <c r="G6" s="39"/>
      <c r="H6" s="39"/>
      <c r="I6" s="39"/>
      <c r="J6" s="63"/>
      <c r="K6" s="63"/>
      <c r="L6" s="63"/>
      <c r="M6" s="39"/>
      <c r="N6" s="39"/>
      <c r="O6" s="39"/>
      <c r="P6" s="39"/>
      <c r="Q6" s="39"/>
      <c r="R6" s="39"/>
      <c r="S6" s="39"/>
      <c r="T6" s="39"/>
      <c r="U6" s="39"/>
      <c r="V6" s="39"/>
      <c r="W6" s="39"/>
      <c r="X6" s="39"/>
    </row>
    <row r="7" spans="1:32" x14ac:dyDescent="0.3">
      <c r="B7" s="39"/>
      <c r="C7" s="39"/>
      <c r="D7" s="39"/>
      <c r="E7" s="61"/>
      <c r="F7" s="61"/>
      <c r="G7" s="39"/>
      <c r="H7" s="39"/>
      <c r="I7" s="39"/>
      <c r="J7" s="63"/>
      <c r="K7" s="63"/>
      <c r="L7" s="63"/>
      <c r="M7" s="39"/>
      <c r="N7" s="39"/>
      <c r="O7" s="39"/>
      <c r="P7" s="39"/>
      <c r="Q7" s="39"/>
      <c r="R7" s="39"/>
      <c r="S7" s="39"/>
      <c r="T7" s="39"/>
      <c r="U7" s="39"/>
      <c r="V7" s="39"/>
      <c r="W7" s="39"/>
      <c r="X7" s="39"/>
    </row>
    <row r="8" spans="1:32" x14ac:dyDescent="0.3">
      <c r="B8" s="39"/>
      <c r="C8" s="39"/>
      <c r="D8" s="39"/>
      <c r="E8" s="61"/>
      <c r="F8" s="61"/>
      <c r="G8" s="39"/>
      <c r="H8" s="39"/>
      <c r="I8" s="39"/>
      <c r="J8" s="63"/>
      <c r="K8" s="63"/>
      <c r="L8" s="63"/>
      <c r="M8" s="39"/>
      <c r="N8" s="39"/>
      <c r="O8" s="39"/>
      <c r="P8" s="39"/>
      <c r="Q8" s="39"/>
      <c r="R8" s="39"/>
      <c r="S8" s="39"/>
      <c r="T8" s="39"/>
      <c r="U8" s="39"/>
      <c r="V8" s="39"/>
      <c r="W8" s="39"/>
      <c r="X8" s="39"/>
    </row>
    <row r="9" spans="1:32" x14ac:dyDescent="0.3">
      <c r="B9" s="39"/>
      <c r="C9" s="39"/>
      <c r="D9" s="39"/>
      <c r="E9" s="61"/>
      <c r="F9" s="61"/>
      <c r="G9" s="39"/>
      <c r="H9" s="39"/>
      <c r="I9" s="39"/>
      <c r="J9" s="63"/>
      <c r="K9" s="63"/>
      <c r="L9" s="63"/>
      <c r="M9" s="39"/>
      <c r="N9" s="39"/>
      <c r="O9" s="39"/>
      <c r="P9" s="39"/>
      <c r="Q9" s="39"/>
      <c r="R9" s="39"/>
      <c r="S9" s="39"/>
      <c r="T9" s="39"/>
      <c r="U9" s="39"/>
      <c r="V9" s="39"/>
      <c r="W9" s="39"/>
      <c r="X9" s="39"/>
    </row>
    <row r="10" spans="1:32" x14ac:dyDescent="0.3">
      <c r="B10" s="39"/>
      <c r="C10" s="39"/>
      <c r="D10" s="39"/>
      <c r="E10" s="61"/>
      <c r="F10" s="61"/>
      <c r="G10" s="39"/>
      <c r="H10" s="39"/>
      <c r="I10" s="39"/>
      <c r="J10" s="63"/>
      <c r="K10" s="63"/>
      <c r="L10" s="63"/>
      <c r="M10" s="39"/>
      <c r="N10" s="39"/>
      <c r="O10" s="39"/>
      <c r="P10" s="39"/>
      <c r="Q10" s="39"/>
      <c r="R10" s="39"/>
      <c r="S10" s="39"/>
      <c r="T10" s="39"/>
      <c r="U10" s="39"/>
      <c r="V10" s="39"/>
      <c r="W10" s="39"/>
      <c r="X10" s="39"/>
    </row>
    <row r="11" spans="1:32" x14ac:dyDescent="0.3">
      <c r="B11" s="39"/>
      <c r="C11" s="39"/>
      <c r="D11" s="39"/>
      <c r="E11" s="61"/>
      <c r="F11" s="61"/>
      <c r="G11" s="39"/>
      <c r="H11" s="39"/>
      <c r="I11" s="39"/>
      <c r="J11" s="63"/>
      <c r="K11" s="63"/>
      <c r="L11" s="63"/>
      <c r="M11" s="39"/>
      <c r="N11" s="39"/>
      <c r="O11" s="39"/>
      <c r="P11" s="39"/>
      <c r="Q11" s="39"/>
      <c r="R11" s="39"/>
      <c r="S11" s="39"/>
      <c r="T11" s="39"/>
      <c r="U11" s="39"/>
      <c r="V11" s="39"/>
      <c r="W11" s="39"/>
      <c r="X11" s="39"/>
    </row>
    <row r="12" spans="1:32" x14ac:dyDescent="0.3">
      <c r="B12" s="39"/>
      <c r="C12" s="39"/>
      <c r="D12" s="39"/>
      <c r="E12" s="61"/>
      <c r="F12" s="61"/>
      <c r="G12" s="39"/>
      <c r="H12" s="39"/>
      <c r="I12" s="39"/>
      <c r="J12" s="63"/>
      <c r="K12" s="63"/>
      <c r="L12" s="63"/>
      <c r="M12" s="39"/>
      <c r="N12" s="39"/>
      <c r="O12" s="39"/>
      <c r="P12" s="39"/>
      <c r="Q12" s="39"/>
      <c r="R12" s="39"/>
      <c r="S12" s="39"/>
      <c r="T12" s="39"/>
      <c r="U12" s="39"/>
      <c r="V12" s="39"/>
      <c r="W12" s="39"/>
      <c r="X12" s="39"/>
    </row>
    <row r="13" spans="1:32" x14ac:dyDescent="0.3">
      <c r="B13" s="39"/>
      <c r="C13" s="39"/>
      <c r="D13" s="39"/>
      <c r="E13" s="61"/>
      <c r="F13" s="61"/>
      <c r="G13" s="39"/>
      <c r="H13" s="39"/>
      <c r="I13" s="39"/>
      <c r="J13" s="63"/>
      <c r="K13" s="63"/>
      <c r="L13" s="63"/>
      <c r="M13" s="39"/>
      <c r="N13" s="39"/>
      <c r="O13" s="39"/>
      <c r="P13" s="39"/>
      <c r="Q13" s="39"/>
      <c r="R13" s="39"/>
      <c r="S13" s="39"/>
      <c r="T13" s="39"/>
      <c r="U13" s="39"/>
      <c r="V13" s="39"/>
      <c r="W13" s="39"/>
      <c r="X13" s="39"/>
    </row>
    <row r="14" spans="1:32" s="42" customFormat="1" ht="49.5" customHeight="1" x14ac:dyDescent="0.25">
      <c r="B14" s="216" t="s">
        <v>24</v>
      </c>
      <c r="C14" s="216"/>
      <c r="D14" s="216"/>
      <c r="E14" s="216"/>
      <c r="F14" s="216"/>
      <c r="G14" s="216"/>
      <c r="H14" s="216"/>
      <c r="I14" s="216"/>
      <c r="J14" s="64"/>
      <c r="K14" s="64"/>
      <c r="L14" s="64"/>
      <c r="M14" s="41"/>
      <c r="N14" s="41"/>
      <c r="O14" s="41"/>
      <c r="P14" s="41"/>
      <c r="Q14" s="41"/>
      <c r="R14" s="41"/>
      <c r="S14" s="41"/>
      <c r="T14" s="41"/>
      <c r="U14" s="41"/>
      <c r="V14" s="41"/>
      <c r="W14" s="41"/>
      <c r="X14" s="41"/>
      <c r="Y14" s="41"/>
      <c r="Z14" s="41"/>
      <c r="AA14" s="41"/>
      <c r="AB14" s="41"/>
      <c r="AC14" s="41"/>
      <c r="AD14" s="41"/>
      <c r="AE14" s="41"/>
      <c r="AF14" s="41"/>
    </row>
    <row r="15" spans="1:32" s="42" customFormat="1" ht="123.75" customHeight="1" thickBot="1" x14ac:dyDescent="0.3">
      <c r="B15" s="67" t="s">
        <v>25</v>
      </c>
      <c r="C15" s="67" t="s">
        <v>6</v>
      </c>
      <c r="D15" s="68" t="s">
        <v>8</v>
      </c>
      <c r="E15" s="69" t="s">
        <v>26</v>
      </c>
      <c r="F15" s="69" t="s">
        <v>27</v>
      </c>
      <c r="G15" s="69" t="s">
        <v>28</v>
      </c>
      <c r="H15" s="70" t="s">
        <v>29</v>
      </c>
      <c r="I15" s="69" t="s">
        <v>30</v>
      </c>
      <c r="J15" s="64"/>
      <c r="K15" s="64"/>
      <c r="L15" s="64"/>
      <c r="M15" s="41"/>
      <c r="N15" s="41"/>
      <c r="O15" s="41"/>
      <c r="P15" s="41"/>
      <c r="Q15" s="41"/>
      <c r="R15" s="41"/>
      <c r="S15" s="41"/>
      <c r="T15" s="41"/>
      <c r="U15" s="41"/>
      <c r="V15" s="41"/>
      <c r="W15" s="41"/>
      <c r="X15" s="41"/>
      <c r="Y15" s="41"/>
      <c r="Z15" s="41"/>
      <c r="AA15" s="41"/>
      <c r="AB15" s="41"/>
      <c r="AC15" s="41"/>
      <c r="AD15" s="41"/>
      <c r="AE15" s="41"/>
      <c r="AF15" s="41"/>
    </row>
    <row r="16" spans="1:32" s="42" customFormat="1" ht="71.25" customHeight="1" x14ac:dyDescent="0.25">
      <c r="A16" s="89" t="str">
        <f>1&amp;E16</f>
        <v>1a</v>
      </c>
      <c r="B16" s="232" t="s">
        <v>31</v>
      </c>
      <c r="C16" s="242" t="s">
        <v>32</v>
      </c>
      <c r="D16" s="229" t="s">
        <v>33</v>
      </c>
      <c r="E16" s="71" t="s">
        <v>34</v>
      </c>
      <c r="F16" s="72" t="s">
        <v>35</v>
      </c>
      <c r="G16" s="97" t="s">
        <v>39</v>
      </c>
      <c r="H16" s="98" t="s">
        <v>210</v>
      </c>
      <c r="I16" s="90" t="str">
        <f>+IF(G16="Si","Mantenimiento del control",IF(G16="En proceso","Oportunidad de mejora","Deficiencia de control"))</f>
        <v>Mantenimiento del control</v>
      </c>
      <c r="J16" s="91">
        <f t="shared" ref="J16:J27" si="0">+IF(G16="Si",20,IF(G16="En proceso",10,0))</f>
        <v>20</v>
      </c>
      <c r="K16" s="91">
        <v>0.123</v>
      </c>
      <c r="L16" s="91">
        <f>+J16+K16</f>
        <v>20.123000000000001</v>
      </c>
    </row>
    <row r="17" spans="1:32" s="42" customFormat="1" ht="89.1" customHeight="1" x14ac:dyDescent="0.25">
      <c r="A17" s="89" t="str">
        <f t="shared" ref="A17:A27" si="1">1&amp;E17</f>
        <v>1b</v>
      </c>
      <c r="B17" s="233"/>
      <c r="C17" s="243"/>
      <c r="D17" s="230"/>
      <c r="E17" s="73" t="s">
        <v>37</v>
      </c>
      <c r="F17" s="74" t="s">
        <v>38</v>
      </c>
      <c r="G17" s="99" t="s">
        <v>76</v>
      </c>
      <c r="H17" s="100" t="s">
        <v>217</v>
      </c>
      <c r="I17" s="92" t="str">
        <f t="shared" ref="I17:I59" si="2">+IF(G17="Si","Mantenimiento del control",IF(G17="En proceso","Oportunidad de mejora","Deficiencia de control"))</f>
        <v>Oportunidad de mejora</v>
      </c>
      <c r="J17" s="93">
        <f t="shared" si="0"/>
        <v>10</v>
      </c>
      <c r="K17" s="91">
        <v>0.1234</v>
      </c>
      <c r="L17" s="91">
        <f t="shared" ref="L17:L59" si="3">+J17+K17</f>
        <v>10.1234</v>
      </c>
    </row>
    <row r="18" spans="1:32" s="42" customFormat="1" ht="87" customHeight="1" x14ac:dyDescent="0.25">
      <c r="A18" s="89" t="str">
        <f t="shared" si="1"/>
        <v>1c</v>
      </c>
      <c r="B18" s="233"/>
      <c r="C18" s="243"/>
      <c r="D18" s="230"/>
      <c r="E18" s="73" t="s">
        <v>40</v>
      </c>
      <c r="F18" s="75" t="s">
        <v>41</v>
      </c>
      <c r="G18" s="99" t="s">
        <v>39</v>
      </c>
      <c r="H18" s="101" t="s">
        <v>205</v>
      </c>
      <c r="I18" s="94" t="str">
        <f t="shared" si="2"/>
        <v>Mantenimiento del control</v>
      </c>
      <c r="J18" s="93">
        <f t="shared" si="0"/>
        <v>20</v>
      </c>
      <c r="K18" s="91">
        <v>0.12345</v>
      </c>
      <c r="L18" s="91">
        <f t="shared" si="3"/>
        <v>20.123449999999998</v>
      </c>
    </row>
    <row r="19" spans="1:32" s="42" customFormat="1" ht="90.95" customHeight="1" x14ac:dyDescent="0.25">
      <c r="A19" s="89" t="str">
        <f t="shared" si="1"/>
        <v>1d</v>
      </c>
      <c r="B19" s="233"/>
      <c r="C19" s="243"/>
      <c r="D19" s="230"/>
      <c r="E19" s="73" t="s">
        <v>42</v>
      </c>
      <c r="F19" s="75" t="s">
        <v>43</v>
      </c>
      <c r="G19" s="99" t="s">
        <v>39</v>
      </c>
      <c r="H19" s="101" t="s">
        <v>206</v>
      </c>
      <c r="I19" s="94" t="str">
        <f t="shared" si="2"/>
        <v>Mantenimiento del control</v>
      </c>
      <c r="J19" s="93">
        <f t="shared" si="0"/>
        <v>20</v>
      </c>
      <c r="K19" s="91">
        <v>0.123456</v>
      </c>
      <c r="L19" s="91">
        <f t="shared" si="3"/>
        <v>20.123456000000001</v>
      </c>
    </row>
    <row r="20" spans="1:32" s="42" customFormat="1" ht="408.95" customHeight="1" x14ac:dyDescent="0.25">
      <c r="A20" s="89" t="str">
        <f t="shared" si="1"/>
        <v>1e</v>
      </c>
      <c r="B20" s="233"/>
      <c r="C20" s="243"/>
      <c r="D20" s="230"/>
      <c r="E20" s="73" t="s">
        <v>44</v>
      </c>
      <c r="F20" s="75" t="s">
        <v>45</v>
      </c>
      <c r="G20" s="99" t="s">
        <v>39</v>
      </c>
      <c r="H20" s="101" t="s">
        <v>191</v>
      </c>
      <c r="I20" s="94" t="str">
        <f t="shared" si="2"/>
        <v>Mantenimiento del control</v>
      </c>
      <c r="J20" s="93">
        <f t="shared" si="0"/>
        <v>20</v>
      </c>
      <c r="K20" s="91">
        <v>0.12345678</v>
      </c>
      <c r="L20" s="91">
        <f t="shared" si="3"/>
        <v>20.123456780000001</v>
      </c>
    </row>
    <row r="21" spans="1:32" s="42" customFormat="1" ht="111" customHeight="1" x14ac:dyDescent="0.25">
      <c r="A21" s="89" t="str">
        <f t="shared" si="1"/>
        <v>1f</v>
      </c>
      <c r="B21" s="233"/>
      <c r="C21" s="243"/>
      <c r="D21" s="230"/>
      <c r="E21" s="73" t="s">
        <v>46</v>
      </c>
      <c r="F21" s="75" t="s">
        <v>47</v>
      </c>
      <c r="G21" s="99" t="s">
        <v>39</v>
      </c>
      <c r="H21" s="101" t="s">
        <v>207</v>
      </c>
      <c r="I21" s="94" t="str">
        <f t="shared" si="2"/>
        <v>Mantenimiento del control</v>
      </c>
      <c r="J21" s="93">
        <f t="shared" si="0"/>
        <v>20</v>
      </c>
      <c r="K21" s="91">
        <v>0.123456789</v>
      </c>
      <c r="L21" s="91">
        <f t="shared" si="3"/>
        <v>20.123456788999999</v>
      </c>
    </row>
    <row r="22" spans="1:32" s="42" customFormat="1" ht="131.1" customHeight="1" x14ac:dyDescent="0.25">
      <c r="A22" s="89" t="str">
        <f t="shared" si="1"/>
        <v>1g</v>
      </c>
      <c r="B22" s="233"/>
      <c r="C22" s="243"/>
      <c r="D22" s="230"/>
      <c r="E22" s="73" t="s">
        <v>48</v>
      </c>
      <c r="F22" s="75" t="s">
        <v>49</v>
      </c>
      <c r="G22" s="99" t="s">
        <v>39</v>
      </c>
      <c r="H22" s="101" t="s">
        <v>208</v>
      </c>
      <c r="I22" s="94" t="str">
        <f t="shared" si="2"/>
        <v>Mantenimiento del control</v>
      </c>
      <c r="J22" s="93">
        <f t="shared" si="0"/>
        <v>20</v>
      </c>
      <c r="K22" s="91">
        <v>0.12345678910000001</v>
      </c>
      <c r="L22" s="91">
        <f t="shared" si="3"/>
        <v>20.1234567891</v>
      </c>
    </row>
    <row r="23" spans="1:32" s="42" customFormat="1" ht="98.1" customHeight="1" x14ac:dyDescent="0.25">
      <c r="A23" s="89" t="str">
        <f t="shared" si="1"/>
        <v>1h</v>
      </c>
      <c r="B23" s="233"/>
      <c r="C23" s="243"/>
      <c r="D23" s="230"/>
      <c r="E23" s="73" t="s">
        <v>50</v>
      </c>
      <c r="F23" s="75" t="s">
        <v>51</v>
      </c>
      <c r="G23" s="99" t="s">
        <v>39</v>
      </c>
      <c r="H23" s="101" t="s">
        <v>218</v>
      </c>
      <c r="I23" s="94" t="str">
        <f t="shared" si="2"/>
        <v>Mantenimiento del control</v>
      </c>
      <c r="J23" s="93">
        <f t="shared" si="0"/>
        <v>20</v>
      </c>
      <c r="K23" s="91">
        <v>0.12345678911999999</v>
      </c>
      <c r="L23" s="91">
        <f t="shared" si="3"/>
        <v>20.123456789119999</v>
      </c>
    </row>
    <row r="24" spans="1:32" s="42" customFormat="1" ht="176.1" customHeight="1" x14ac:dyDescent="0.25">
      <c r="A24" s="89" t="str">
        <f t="shared" si="1"/>
        <v>1i</v>
      </c>
      <c r="B24" s="233"/>
      <c r="C24" s="243"/>
      <c r="D24" s="230"/>
      <c r="E24" s="73" t="s">
        <v>52</v>
      </c>
      <c r="F24" s="75" t="s">
        <v>53</v>
      </c>
      <c r="G24" s="146" t="s">
        <v>39</v>
      </c>
      <c r="H24" s="147" t="s">
        <v>219</v>
      </c>
      <c r="I24" s="94" t="str">
        <f t="shared" si="2"/>
        <v>Mantenimiento del control</v>
      </c>
      <c r="J24" s="93">
        <f t="shared" si="0"/>
        <v>20</v>
      </c>
      <c r="K24" s="91">
        <v>0.123456789123</v>
      </c>
      <c r="L24" s="91">
        <f t="shared" si="3"/>
        <v>20.123456789123001</v>
      </c>
    </row>
    <row r="25" spans="1:32" s="42" customFormat="1" ht="141.94999999999999" customHeight="1" x14ac:dyDescent="0.25">
      <c r="A25" s="89" t="str">
        <f t="shared" si="1"/>
        <v>1j</v>
      </c>
      <c r="B25" s="233"/>
      <c r="C25" s="243"/>
      <c r="D25" s="230"/>
      <c r="E25" s="73" t="s">
        <v>54</v>
      </c>
      <c r="F25" s="75" t="s">
        <v>55</v>
      </c>
      <c r="G25" s="99" t="s">
        <v>39</v>
      </c>
      <c r="H25" s="101" t="s">
        <v>209</v>
      </c>
      <c r="I25" s="94" t="str">
        <f t="shared" si="2"/>
        <v>Mantenimiento del control</v>
      </c>
      <c r="J25" s="93">
        <f t="shared" si="0"/>
        <v>20</v>
      </c>
      <c r="K25" s="91">
        <v>0.1234567891234</v>
      </c>
      <c r="L25" s="91">
        <f t="shared" si="3"/>
        <v>20.123456789123399</v>
      </c>
    </row>
    <row r="26" spans="1:32" s="42" customFormat="1" ht="105" customHeight="1" x14ac:dyDescent="0.25">
      <c r="A26" s="89" t="str">
        <f t="shared" si="1"/>
        <v>1k</v>
      </c>
      <c r="B26" s="233"/>
      <c r="C26" s="243"/>
      <c r="D26" s="230"/>
      <c r="E26" s="73" t="s">
        <v>56</v>
      </c>
      <c r="F26" s="75" t="s">
        <v>57</v>
      </c>
      <c r="G26" s="99" t="s">
        <v>39</v>
      </c>
      <c r="H26" s="101" t="s">
        <v>211</v>
      </c>
      <c r="I26" s="94" t="str">
        <f t="shared" si="2"/>
        <v>Mantenimiento del control</v>
      </c>
      <c r="J26" s="93">
        <f t="shared" si="0"/>
        <v>20</v>
      </c>
      <c r="K26" s="91">
        <v>0.12345678912345</v>
      </c>
      <c r="L26" s="91">
        <f t="shared" si="3"/>
        <v>20.123456789123448</v>
      </c>
    </row>
    <row r="27" spans="1:32" s="42" customFormat="1" ht="120.95" customHeight="1" thickBot="1" x14ac:dyDescent="0.3">
      <c r="A27" s="89" t="str">
        <f t="shared" si="1"/>
        <v>1l</v>
      </c>
      <c r="B27" s="234"/>
      <c r="C27" s="244"/>
      <c r="D27" s="231"/>
      <c r="E27" s="76" t="s">
        <v>58</v>
      </c>
      <c r="F27" s="77" t="s">
        <v>59</v>
      </c>
      <c r="G27" s="102" t="s">
        <v>39</v>
      </c>
      <c r="H27" s="103" t="s">
        <v>220</v>
      </c>
      <c r="I27" s="95" t="str">
        <f t="shared" si="2"/>
        <v>Mantenimiento del control</v>
      </c>
      <c r="J27" s="93">
        <f t="shared" si="0"/>
        <v>20</v>
      </c>
      <c r="K27" s="91">
        <v>0.12345678912345601</v>
      </c>
      <c r="L27" s="91">
        <f t="shared" si="3"/>
        <v>20.123456789123455</v>
      </c>
    </row>
    <row r="28" spans="1:32" s="42" customFormat="1" ht="69.95" customHeight="1" x14ac:dyDescent="0.25">
      <c r="A28" s="89" t="str">
        <f>2&amp;E28</f>
        <v>2a</v>
      </c>
      <c r="B28" s="235" t="s">
        <v>60</v>
      </c>
      <c r="C28" s="245" t="s">
        <v>61</v>
      </c>
      <c r="D28" s="238" t="s">
        <v>62</v>
      </c>
      <c r="E28" s="71" t="s">
        <v>34</v>
      </c>
      <c r="F28" s="72" t="s">
        <v>63</v>
      </c>
      <c r="G28" s="97" t="s">
        <v>39</v>
      </c>
      <c r="H28" s="98" t="s">
        <v>221</v>
      </c>
      <c r="I28" s="90" t="str">
        <f t="shared" si="2"/>
        <v>Mantenimiento del control</v>
      </c>
      <c r="J28" s="91">
        <f>+IF(G28="Si",40,IF(G28="En proceso",30,20))</f>
        <v>40</v>
      </c>
      <c r="K28" s="91">
        <v>0.23</v>
      </c>
      <c r="L28" s="91">
        <f t="shared" si="3"/>
        <v>40.229999999999997</v>
      </c>
    </row>
    <row r="29" spans="1:32" s="42" customFormat="1" ht="100.5" customHeight="1" x14ac:dyDescent="0.25">
      <c r="A29" s="89" t="str">
        <f t="shared" ref="A29:A31" si="4">2&amp;E29</f>
        <v>2b</v>
      </c>
      <c r="B29" s="236"/>
      <c r="C29" s="246"/>
      <c r="D29" s="239"/>
      <c r="E29" s="73" t="s">
        <v>37</v>
      </c>
      <c r="F29" s="75" t="s">
        <v>64</v>
      </c>
      <c r="G29" s="99" t="s">
        <v>39</v>
      </c>
      <c r="H29" s="101" t="s">
        <v>222</v>
      </c>
      <c r="I29" s="94" t="str">
        <f t="shared" si="2"/>
        <v>Mantenimiento del control</v>
      </c>
      <c r="J29" s="91">
        <f>+IF(G29="Si",40,IF(G29="En proceso",30,20))</f>
        <v>40</v>
      </c>
      <c r="K29" s="91">
        <v>0.23400000000000001</v>
      </c>
      <c r="L29" s="91">
        <f t="shared" si="3"/>
        <v>40.234000000000002</v>
      </c>
    </row>
    <row r="30" spans="1:32" s="42" customFormat="1" ht="105" customHeight="1" x14ac:dyDescent="0.25">
      <c r="A30" s="89" t="str">
        <f t="shared" si="4"/>
        <v>2c</v>
      </c>
      <c r="B30" s="236"/>
      <c r="C30" s="246"/>
      <c r="D30" s="239"/>
      <c r="E30" s="73" t="s">
        <v>40</v>
      </c>
      <c r="F30" s="75" t="s">
        <v>65</v>
      </c>
      <c r="G30" s="99" t="s">
        <v>39</v>
      </c>
      <c r="H30" s="101" t="s">
        <v>212</v>
      </c>
      <c r="I30" s="94" t="str">
        <f t="shared" si="2"/>
        <v>Mantenimiento del control</v>
      </c>
      <c r="J30" s="91">
        <f>+IF(G30="Si",40,IF(G30="En proceso",30,20))</f>
        <v>40</v>
      </c>
      <c r="K30" s="91">
        <v>0.23449999999999999</v>
      </c>
      <c r="L30" s="91">
        <f t="shared" si="3"/>
        <v>40.234499999999997</v>
      </c>
    </row>
    <row r="31" spans="1:32" s="42" customFormat="1" ht="88.5" customHeight="1" thickBot="1" x14ac:dyDescent="0.3">
      <c r="A31" s="89" t="str">
        <f t="shared" si="4"/>
        <v>2d</v>
      </c>
      <c r="B31" s="237"/>
      <c r="C31" s="247"/>
      <c r="D31" s="240"/>
      <c r="E31" s="76" t="s">
        <v>42</v>
      </c>
      <c r="F31" s="77" t="s">
        <v>66</v>
      </c>
      <c r="G31" s="102" t="s">
        <v>39</v>
      </c>
      <c r="H31" s="103" t="s">
        <v>223</v>
      </c>
      <c r="I31" s="95" t="str">
        <f t="shared" si="2"/>
        <v>Mantenimiento del control</v>
      </c>
      <c r="J31" s="91">
        <f>+IF(G31="Si",40,IF(G31="En proceso",30,20))</f>
        <v>40</v>
      </c>
      <c r="K31" s="91">
        <v>0.23455999999999999</v>
      </c>
      <c r="L31" s="91">
        <f t="shared" si="3"/>
        <v>40.234560000000002</v>
      </c>
    </row>
    <row r="32" spans="1:32" s="42" customFormat="1" ht="105" customHeight="1" x14ac:dyDescent="0.25">
      <c r="A32" s="89" t="str">
        <f>3&amp;E32</f>
        <v>3a</v>
      </c>
      <c r="B32" s="257" t="s">
        <v>67</v>
      </c>
      <c r="C32" s="257" t="s">
        <v>61</v>
      </c>
      <c r="D32" s="259" t="s">
        <v>68</v>
      </c>
      <c r="E32" s="73" t="s">
        <v>34</v>
      </c>
      <c r="F32" s="75" t="s">
        <v>69</v>
      </c>
      <c r="G32" s="99" t="s">
        <v>39</v>
      </c>
      <c r="H32" s="101" t="s">
        <v>224</v>
      </c>
      <c r="I32" s="94" t="str">
        <f t="shared" si="2"/>
        <v>Mantenimiento del control</v>
      </c>
      <c r="J32" s="91">
        <f t="shared" ref="J32:J37" si="5">+IF(G32="Si",40,IF(G32="En proceso",30,20))</f>
        <v>40</v>
      </c>
      <c r="K32" s="96">
        <v>0.234567</v>
      </c>
      <c r="L32" s="91">
        <f t="shared" ref="L32:L37" si="6">+J32+K32</f>
        <v>40.234566999999998</v>
      </c>
      <c r="M32" s="41"/>
      <c r="N32" s="41"/>
      <c r="O32" s="41"/>
      <c r="P32" s="41"/>
      <c r="Q32" s="41"/>
      <c r="R32" s="41"/>
      <c r="S32" s="41"/>
      <c r="T32" s="41"/>
      <c r="U32" s="41"/>
      <c r="V32" s="41"/>
      <c r="W32" s="41"/>
      <c r="X32" s="41"/>
      <c r="Y32" s="41"/>
      <c r="Z32" s="41"/>
      <c r="AA32" s="41"/>
      <c r="AB32" s="41"/>
      <c r="AC32" s="41"/>
      <c r="AD32" s="41"/>
      <c r="AE32" s="41"/>
      <c r="AF32" s="41"/>
    </row>
    <row r="33" spans="1:32" s="42" customFormat="1" ht="93" customHeight="1" thickBot="1" x14ac:dyDescent="0.3">
      <c r="A33" s="89" t="str">
        <f t="shared" ref="A33:A34" si="7">3&amp;E33</f>
        <v>3b</v>
      </c>
      <c r="B33" s="257"/>
      <c r="C33" s="257"/>
      <c r="D33" s="259"/>
      <c r="E33" s="73" t="s">
        <v>37</v>
      </c>
      <c r="F33" s="75" t="s">
        <v>70</v>
      </c>
      <c r="G33" s="99" t="s">
        <v>39</v>
      </c>
      <c r="H33" s="101" t="s">
        <v>225</v>
      </c>
      <c r="I33" s="94" t="str">
        <f t="shared" si="2"/>
        <v>Mantenimiento del control</v>
      </c>
      <c r="J33" s="91">
        <f t="shared" si="5"/>
        <v>40</v>
      </c>
      <c r="K33" s="96">
        <v>0.23456779999999999</v>
      </c>
      <c r="L33" s="91">
        <f t="shared" si="6"/>
        <v>40.234567800000001</v>
      </c>
      <c r="M33" s="41"/>
      <c r="N33" s="41"/>
      <c r="O33" s="41"/>
      <c r="P33" s="41"/>
      <c r="Q33" s="41"/>
      <c r="R33" s="41"/>
      <c r="S33" s="41"/>
      <c r="T33" s="41"/>
      <c r="U33" s="41"/>
      <c r="V33" s="41"/>
      <c r="W33" s="41"/>
      <c r="X33" s="41"/>
      <c r="Y33" s="41"/>
      <c r="Z33" s="41"/>
      <c r="AA33" s="41"/>
      <c r="AB33" s="41"/>
      <c r="AC33" s="41"/>
      <c r="AD33" s="41"/>
      <c r="AE33" s="41"/>
      <c r="AF33" s="41"/>
    </row>
    <row r="34" spans="1:32" s="42" customFormat="1" ht="66" customHeight="1" thickBot="1" x14ac:dyDescent="0.3">
      <c r="A34" s="89" t="str">
        <f t="shared" si="7"/>
        <v>3c</v>
      </c>
      <c r="B34" s="258"/>
      <c r="C34" s="258"/>
      <c r="D34" s="260"/>
      <c r="E34" s="148" t="s">
        <v>40</v>
      </c>
      <c r="F34" s="149" t="s">
        <v>71</v>
      </c>
      <c r="G34" s="150" t="s">
        <v>76</v>
      </c>
      <c r="H34" s="98" t="s">
        <v>213</v>
      </c>
      <c r="I34" s="151" t="str">
        <f t="shared" si="2"/>
        <v>Oportunidad de mejora</v>
      </c>
      <c r="J34" s="91">
        <f t="shared" si="5"/>
        <v>30</v>
      </c>
      <c r="K34" s="96">
        <v>0.23456789</v>
      </c>
      <c r="L34" s="91">
        <f t="shared" si="6"/>
        <v>30.234567890000001</v>
      </c>
      <c r="M34" s="41"/>
      <c r="N34" s="41"/>
      <c r="O34" s="41"/>
      <c r="P34" s="41"/>
      <c r="Q34" s="41"/>
      <c r="R34" s="41"/>
      <c r="S34" s="41"/>
      <c r="T34" s="41"/>
      <c r="U34" s="41"/>
      <c r="V34" s="41"/>
      <c r="W34" s="41"/>
      <c r="X34" s="41"/>
      <c r="Y34" s="41"/>
      <c r="Z34" s="41"/>
      <c r="AA34" s="41"/>
      <c r="AB34" s="41"/>
      <c r="AC34" s="41"/>
      <c r="AD34" s="41"/>
      <c r="AE34" s="41"/>
      <c r="AF34" s="41"/>
    </row>
    <row r="35" spans="1:32" s="42" customFormat="1" ht="57.75" customHeight="1" thickBot="1" x14ac:dyDescent="0.3">
      <c r="A35" s="89" t="str">
        <f>4&amp;E35</f>
        <v>4a</v>
      </c>
      <c r="B35" s="261" t="s">
        <v>72</v>
      </c>
      <c r="C35" s="245" t="s">
        <v>61</v>
      </c>
      <c r="D35" s="238" t="s">
        <v>73</v>
      </c>
      <c r="E35" s="71" t="s">
        <v>34</v>
      </c>
      <c r="F35" s="72" t="s">
        <v>74</v>
      </c>
      <c r="G35" s="97" t="s">
        <v>76</v>
      </c>
      <c r="H35" s="98" t="s">
        <v>213</v>
      </c>
      <c r="I35" s="152" t="str">
        <f t="shared" si="2"/>
        <v>Oportunidad de mejora</v>
      </c>
      <c r="J35" s="91">
        <f t="shared" si="5"/>
        <v>30</v>
      </c>
      <c r="K35" s="96">
        <v>0.23456789119999999</v>
      </c>
      <c r="L35" s="91">
        <f t="shared" si="6"/>
        <v>30.234567891200001</v>
      </c>
      <c r="M35" s="41"/>
      <c r="N35" s="41"/>
      <c r="O35" s="41"/>
      <c r="P35" s="41"/>
      <c r="Q35" s="41"/>
    </row>
    <row r="36" spans="1:32" s="42" customFormat="1" ht="57.75" customHeight="1" x14ac:dyDescent="0.25">
      <c r="A36" s="89" t="str">
        <f t="shared" ref="A36:A37" si="8">4&amp;E36</f>
        <v>4b</v>
      </c>
      <c r="B36" s="262"/>
      <c r="C36" s="246"/>
      <c r="D36" s="239"/>
      <c r="E36" s="73" t="s">
        <v>37</v>
      </c>
      <c r="F36" s="75" t="s">
        <v>75</v>
      </c>
      <c r="G36" s="99" t="s">
        <v>76</v>
      </c>
      <c r="H36" s="98" t="s">
        <v>213</v>
      </c>
      <c r="I36" s="153" t="str">
        <f t="shared" si="2"/>
        <v>Oportunidad de mejora</v>
      </c>
      <c r="J36" s="91">
        <f t="shared" si="5"/>
        <v>30</v>
      </c>
      <c r="K36" s="96">
        <v>0.23456789122999999</v>
      </c>
      <c r="L36" s="91">
        <f t="shared" si="6"/>
        <v>30.23456789123</v>
      </c>
      <c r="M36" s="41"/>
      <c r="N36" s="41"/>
      <c r="O36" s="41"/>
      <c r="P36" s="41"/>
      <c r="Q36" s="41"/>
    </row>
    <row r="37" spans="1:32" s="42" customFormat="1" ht="102" customHeight="1" thickBot="1" x14ac:dyDescent="0.3">
      <c r="A37" s="89" t="str">
        <f t="shared" si="8"/>
        <v>4c</v>
      </c>
      <c r="B37" s="263"/>
      <c r="C37" s="247"/>
      <c r="D37" s="240"/>
      <c r="E37" s="76" t="s">
        <v>40</v>
      </c>
      <c r="F37" s="77" t="s">
        <v>77</v>
      </c>
      <c r="G37" s="102" t="s">
        <v>39</v>
      </c>
      <c r="H37" s="103" t="s">
        <v>214</v>
      </c>
      <c r="I37" s="154" t="str">
        <f t="shared" si="2"/>
        <v>Mantenimiento del control</v>
      </c>
      <c r="J37" s="91">
        <f t="shared" si="5"/>
        <v>40</v>
      </c>
      <c r="K37" s="96">
        <v>0.23456789123399999</v>
      </c>
      <c r="L37" s="91">
        <f t="shared" si="6"/>
        <v>40.234567891234001</v>
      </c>
      <c r="M37" s="41"/>
      <c r="N37" s="41"/>
      <c r="O37" s="41"/>
      <c r="P37" s="41"/>
      <c r="Q37" s="41"/>
    </row>
    <row r="38" spans="1:32" s="42" customFormat="1" ht="85.5" customHeight="1" x14ac:dyDescent="0.25">
      <c r="A38" s="89" t="str">
        <f>5&amp;E38</f>
        <v>5a</v>
      </c>
      <c r="B38" s="264" t="s">
        <v>78</v>
      </c>
      <c r="C38" s="248" t="s">
        <v>79</v>
      </c>
      <c r="D38" s="267" t="s">
        <v>80</v>
      </c>
      <c r="E38" s="71" t="s">
        <v>34</v>
      </c>
      <c r="F38" s="72" t="s">
        <v>81</v>
      </c>
      <c r="G38" s="97" t="s">
        <v>39</v>
      </c>
      <c r="H38" s="101" t="s">
        <v>225</v>
      </c>
      <c r="I38" s="90" t="str">
        <f t="shared" si="2"/>
        <v>Mantenimiento del control</v>
      </c>
      <c r="J38" s="91">
        <f>+IF(G38="Si",60,IF(G38="En proceso",50,40))</f>
        <v>60</v>
      </c>
      <c r="K38" s="91">
        <v>0.31</v>
      </c>
      <c r="L38" s="91">
        <f t="shared" si="3"/>
        <v>60.31</v>
      </c>
    </row>
    <row r="39" spans="1:32" s="42" customFormat="1" ht="87" customHeight="1" x14ac:dyDescent="0.25">
      <c r="A39" s="89" t="str">
        <f t="shared" ref="A39:A42" si="9">5&amp;E39</f>
        <v>5b</v>
      </c>
      <c r="B39" s="265"/>
      <c r="C39" s="249"/>
      <c r="D39" s="268"/>
      <c r="E39" s="73" t="s">
        <v>37</v>
      </c>
      <c r="F39" s="75" t="s">
        <v>82</v>
      </c>
      <c r="G39" s="99" t="s">
        <v>39</v>
      </c>
      <c r="H39" s="101" t="s">
        <v>226</v>
      </c>
      <c r="I39" s="94" t="str">
        <f t="shared" si="2"/>
        <v>Mantenimiento del control</v>
      </c>
      <c r="J39" s="91">
        <f>+IF(G39="Si",60,IF(G39="En proceso",50,40))</f>
        <v>60</v>
      </c>
      <c r="K39" s="91">
        <v>0.32300000000000001</v>
      </c>
      <c r="L39" s="91">
        <f t="shared" si="3"/>
        <v>60.323</v>
      </c>
    </row>
    <row r="40" spans="1:32" s="42" customFormat="1" ht="81.95" customHeight="1" x14ac:dyDescent="0.25">
      <c r="A40" s="89" t="str">
        <f t="shared" si="9"/>
        <v>5c</v>
      </c>
      <c r="B40" s="265"/>
      <c r="C40" s="249"/>
      <c r="D40" s="268"/>
      <c r="E40" s="73" t="s">
        <v>40</v>
      </c>
      <c r="F40" s="75" t="s">
        <v>83</v>
      </c>
      <c r="G40" s="99" t="s">
        <v>39</v>
      </c>
      <c r="H40" s="101" t="s">
        <v>215</v>
      </c>
      <c r="I40" s="94" t="str">
        <f t="shared" si="2"/>
        <v>Mantenimiento del control</v>
      </c>
      <c r="J40" s="91">
        <f>+IF(G40="Si",60,IF(G40="En proceso",50,40))</f>
        <v>60</v>
      </c>
      <c r="K40" s="91">
        <v>0.32400000000000001</v>
      </c>
      <c r="L40" s="91">
        <f t="shared" si="3"/>
        <v>60.323999999999998</v>
      </c>
    </row>
    <row r="41" spans="1:32" s="42" customFormat="1" ht="102" customHeight="1" x14ac:dyDescent="0.25">
      <c r="A41" s="89" t="str">
        <f t="shared" si="9"/>
        <v>5d</v>
      </c>
      <c r="B41" s="265"/>
      <c r="C41" s="249"/>
      <c r="D41" s="268"/>
      <c r="E41" s="73" t="s">
        <v>42</v>
      </c>
      <c r="F41" s="75" t="s">
        <v>84</v>
      </c>
      <c r="G41" s="99" t="s">
        <v>39</v>
      </c>
      <c r="H41" s="101" t="s">
        <v>227</v>
      </c>
      <c r="I41" s="94" t="str">
        <f t="shared" si="2"/>
        <v>Mantenimiento del control</v>
      </c>
      <c r="J41" s="91">
        <f>+IF(G41="Si",60,IF(G41="En proceso",50,40))</f>
        <v>60</v>
      </c>
      <c r="K41" s="91">
        <v>0.32500000000000001</v>
      </c>
      <c r="L41" s="91">
        <f t="shared" si="3"/>
        <v>60.325000000000003</v>
      </c>
    </row>
    <row r="42" spans="1:32" s="42" customFormat="1" ht="69.75" customHeight="1" thickBot="1" x14ac:dyDescent="0.3">
      <c r="A42" s="89" t="str">
        <f t="shared" si="9"/>
        <v>5e</v>
      </c>
      <c r="B42" s="266"/>
      <c r="C42" s="250"/>
      <c r="D42" s="269"/>
      <c r="E42" s="76" t="s">
        <v>44</v>
      </c>
      <c r="F42" s="77" t="s">
        <v>85</v>
      </c>
      <c r="G42" s="102" t="s">
        <v>39</v>
      </c>
      <c r="H42" s="101" t="s">
        <v>228</v>
      </c>
      <c r="I42" s="95" t="str">
        <f t="shared" si="2"/>
        <v>Mantenimiento del control</v>
      </c>
      <c r="J42" s="91">
        <f>+IF(G42="Si",60,IF(G42="En proceso",50,40))</f>
        <v>60</v>
      </c>
      <c r="K42" s="91">
        <v>0.32600000000000001</v>
      </c>
      <c r="L42" s="91">
        <f t="shared" si="3"/>
        <v>60.326000000000001</v>
      </c>
    </row>
    <row r="43" spans="1:32" s="42" customFormat="1" ht="80.099999999999994" customHeight="1" x14ac:dyDescent="0.25">
      <c r="A43" s="89" t="str">
        <f>6&amp;E43</f>
        <v>6a</v>
      </c>
      <c r="B43" s="220" t="s">
        <v>86</v>
      </c>
      <c r="C43" s="251" t="s">
        <v>87</v>
      </c>
      <c r="D43" s="217" t="s">
        <v>88</v>
      </c>
      <c r="E43" s="71" t="s">
        <v>34</v>
      </c>
      <c r="F43" s="72" t="s">
        <v>89</v>
      </c>
      <c r="G43" s="97" t="s">
        <v>39</v>
      </c>
      <c r="H43" s="98" t="s">
        <v>229</v>
      </c>
      <c r="I43" s="90" t="str">
        <f t="shared" si="2"/>
        <v>Mantenimiento del control</v>
      </c>
      <c r="J43" s="91">
        <f t="shared" ref="J43:J49" si="10">+IF(G43="Si",80,IF(G43="En proceso",70,60))</f>
        <v>80</v>
      </c>
      <c r="K43" s="91">
        <v>0.41199999999999998</v>
      </c>
      <c r="L43" s="91">
        <f t="shared" si="3"/>
        <v>80.412000000000006</v>
      </c>
    </row>
    <row r="44" spans="1:32" s="42" customFormat="1" ht="72.75" customHeight="1" x14ac:dyDescent="0.25">
      <c r="A44" s="89" t="str">
        <f t="shared" ref="A44:A49" si="11">6&amp;E44</f>
        <v>6b</v>
      </c>
      <c r="B44" s="221"/>
      <c r="C44" s="252"/>
      <c r="D44" s="218"/>
      <c r="E44" s="73" t="s">
        <v>37</v>
      </c>
      <c r="F44" s="75" t="s">
        <v>90</v>
      </c>
      <c r="G44" s="99" t="s">
        <v>39</v>
      </c>
      <c r="H44" s="101" t="s">
        <v>230</v>
      </c>
      <c r="I44" s="94" t="str">
        <f t="shared" si="2"/>
        <v>Mantenimiento del control</v>
      </c>
      <c r="J44" s="91">
        <f t="shared" si="10"/>
        <v>80</v>
      </c>
      <c r="K44" s="91">
        <v>0.4123</v>
      </c>
      <c r="L44" s="91">
        <f t="shared" si="3"/>
        <v>80.412300000000002</v>
      </c>
    </row>
    <row r="45" spans="1:32" s="42" customFormat="1" ht="80.099999999999994" customHeight="1" x14ac:dyDescent="0.25">
      <c r="A45" s="89" t="str">
        <f t="shared" si="11"/>
        <v>6c</v>
      </c>
      <c r="B45" s="221"/>
      <c r="C45" s="252"/>
      <c r="D45" s="218"/>
      <c r="E45" s="73" t="s">
        <v>40</v>
      </c>
      <c r="F45" s="75" t="s">
        <v>91</v>
      </c>
      <c r="G45" s="99" t="s">
        <v>39</v>
      </c>
      <c r="H45" s="101" t="s">
        <v>194</v>
      </c>
      <c r="I45" s="94" t="str">
        <f t="shared" si="2"/>
        <v>Mantenimiento del control</v>
      </c>
      <c r="J45" s="91">
        <f t="shared" si="10"/>
        <v>80</v>
      </c>
      <c r="K45" s="91">
        <v>0.41233999999999998</v>
      </c>
      <c r="L45" s="91">
        <f t="shared" si="3"/>
        <v>80.41234</v>
      </c>
    </row>
    <row r="46" spans="1:32" s="42" customFormat="1" ht="80.099999999999994" customHeight="1" x14ac:dyDescent="0.25">
      <c r="A46" s="89" t="str">
        <f t="shared" si="11"/>
        <v>6d</v>
      </c>
      <c r="B46" s="221"/>
      <c r="C46" s="252"/>
      <c r="D46" s="218"/>
      <c r="E46" s="73" t="s">
        <v>42</v>
      </c>
      <c r="F46" s="75" t="s">
        <v>92</v>
      </c>
      <c r="G46" s="99" t="s">
        <v>39</v>
      </c>
      <c r="H46" s="101" t="s">
        <v>193</v>
      </c>
      <c r="I46" s="94" t="str">
        <f t="shared" si="2"/>
        <v>Mantenimiento del control</v>
      </c>
      <c r="J46" s="91">
        <f t="shared" si="10"/>
        <v>80</v>
      </c>
      <c r="K46" s="91">
        <v>0.41234500000000002</v>
      </c>
      <c r="L46" s="91">
        <f t="shared" si="3"/>
        <v>80.412345000000002</v>
      </c>
    </row>
    <row r="47" spans="1:32" s="42" customFormat="1" ht="80.099999999999994" customHeight="1" x14ac:dyDescent="0.25">
      <c r="A47" s="89" t="str">
        <f t="shared" si="11"/>
        <v>6e</v>
      </c>
      <c r="B47" s="221"/>
      <c r="C47" s="252"/>
      <c r="D47" s="218"/>
      <c r="E47" s="73" t="s">
        <v>44</v>
      </c>
      <c r="F47" s="75" t="s">
        <v>93</v>
      </c>
      <c r="G47" s="99" t="s">
        <v>39</v>
      </c>
      <c r="H47" s="101" t="s">
        <v>231</v>
      </c>
      <c r="I47" s="94" t="str">
        <f t="shared" si="2"/>
        <v>Mantenimiento del control</v>
      </c>
      <c r="J47" s="91">
        <f t="shared" si="10"/>
        <v>80</v>
      </c>
      <c r="K47" s="91">
        <v>0.41234559999999998</v>
      </c>
      <c r="L47" s="91">
        <f t="shared" si="3"/>
        <v>80.412345599999995</v>
      </c>
    </row>
    <row r="48" spans="1:32" s="42" customFormat="1" ht="80.099999999999994" customHeight="1" x14ac:dyDescent="0.25">
      <c r="A48" s="89" t="str">
        <f t="shared" si="11"/>
        <v>6f</v>
      </c>
      <c r="B48" s="221"/>
      <c r="C48" s="252"/>
      <c r="D48" s="218"/>
      <c r="E48" s="73" t="s">
        <v>46</v>
      </c>
      <c r="F48" s="75" t="s">
        <v>94</v>
      </c>
      <c r="G48" s="99" t="s">
        <v>76</v>
      </c>
      <c r="H48" s="101" t="s">
        <v>232</v>
      </c>
      <c r="I48" s="94" t="str">
        <f t="shared" si="2"/>
        <v>Oportunidad de mejora</v>
      </c>
      <c r="J48" s="91">
        <f t="shared" si="10"/>
        <v>70</v>
      </c>
      <c r="K48" s="91">
        <v>0.41234567</v>
      </c>
      <c r="L48" s="91">
        <f t="shared" si="3"/>
        <v>70.412345669999993</v>
      </c>
    </row>
    <row r="49" spans="1:17" s="42" customFormat="1" ht="64.5" customHeight="1" thickBot="1" x14ac:dyDescent="0.3">
      <c r="A49" s="89" t="str">
        <f t="shared" si="11"/>
        <v>6g</v>
      </c>
      <c r="B49" s="222"/>
      <c r="C49" s="253"/>
      <c r="D49" s="219"/>
      <c r="E49" s="76" t="s">
        <v>48</v>
      </c>
      <c r="F49" s="77" t="s">
        <v>95</v>
      </c>
      <c r="G49" s="102" t="s">
        <v>76</v>
      </c>
      <c r="H49" s="103" t="s">
        <v>233</v>
      </c>
      <c r="I49" s="95" t="str">
        <f t="shared" si="2"/>
        <v>Oportunidad de mejora</v>
      </c>
      <c r="J49" s="91">
        <f t="shared" si="10"/>
        <v>70</v>
      </c>
      <c r="K49" s="91">
        <v>0.41234567799999999</v>
      </c>
      <c r="L49" s="91">
        <f t="shared" si="3"/>
        <v>70.412345677999994</v>
      </c>
    </row>
    <row r="50" spans="1:17" s="42" customFormat="1" ht="54.75" customHeight="1" x14ac:dyDescent="0.25">
      <c r="A50" s="89" t="str">
        <f>7&amp;E50</f>
        <v>7a</v>
      </c>
      <c r="B50" s="226" t="s">
        <v>96</v>
      </c>
      <c r="C50" s="254" t="s">
        <v>97</v>
      </c>
      <c r="D50" s="223" t="s">
        <v>98</v>
      </c>
      <c r="E50" s="71" t="s">
        <v>34</v>
      </c>
      <c r="F50" s="72" t="s">
        <v>99</v>
      </c>
      <c r="G50" s="97" t="s">
        <v>39</v>
      </c>
      <c r="H50" s="98" t="s">
        <v>234</v>
      </c>
      <c r="I50" s="90" t="str">
        <f t="shared" si="2"/>
        <v>Mantenimiento del control</v>
      </c>
      <c r="J50" s="91">
        <f>+IF(G50="Si",120,IF(G50="En proceso",100,80))</f>
        <v>120</v>
      </c>
      <c r="K50" s="91">
        <v>0.85099999999999998</v>
      </c>
      <c r="L50" s="91">
        <f t="shared" si="3"/>
        <v>120.851</v>
      </c>
    </row>
    <row r="51" spans="1:17" s="42" customFormat="1" ht="82.5" x14ac:dyDescent="0.25">
      <c r="A51" s="89" t="str">
        <f t="shared" ref="A51:A53" si="12">7&amp;E51</f>
        <v>7d</v>
      </c>
      <c r="B51" s="227"/>
      <c r="C51" s="255"/>
      <c r="D51" s="224"/>
      <c r="E51" s="73" t="s">
        <v>42</v>
      </c>
      <c r="F51" s="75" t="s">
        <v>100</v>
      </c>
      <c r="G51" s="99" t="s">
        <v>39</v>
      </c>
      <c r="H51" s="101" t="s">
        <v>235</v>
      </c>
      <c r="I51" s="94" t="str">
        <f t="shared" si="2"/>
        <v>Mantenimiento del control</v>
      </c>
      <c r="J51" s="91">
        <f t="shared" ref="J51:J59" si="13">+IF(G51="Si",120,IF(G51="En proceso",100,80))</f>
        <v>120</v>
      </c>
      <c r="K51" s="91">
        <v>0.85119999999999996</v>
      </c>
      <c r="L51" s="91">
        <f t="shared" si="3"/>
        <v>120.85120000000001</v>
      </c>
    </row>
    <row r="52" spans="1:17" s="42" customFormat="1" ht="78" customHeight="1" x14ac:dyDescent="0.25">
      <c r="A52" s="89" t="str">
        <f t="shared" si="12"/>
        <v>7f</v>
      </c>
      <c r="B52" s="227"/>
      <c r="C52" s="255"/>
      <c r="D52" s="224"/>
      <c r="E52" s="73" t="s">
        <v>46</v>
      </c>
      <c r="F52" s="75" t="s">
        <v>101</v>
      </c>
      <c r="G52" s="99" t="s">
        <v>39</v>
      </c>
      <c r="H52" s="101" t="s">
        <v>195</v>
      </c>
      <c r="I52" s="94" t="str">
        <f t="shared" si="2"/>
        <v>Mantenimiento del control</v>
      </c>
      <c r="J52" s="91">
        <f t="shared" si="13"/>
        <v>120</v>
      </c>
      <c r="K52" s="91">
        <v>0.85123000000000004</v>
      </c>
      <c r="L52" s="91">
        <f t="shared" si="3"/>
        <v>120.85123</v>
      </c>
    </row>
    <row r="53" spans="1:17" s="42" customFormat="1" ht="78" customHeight="1" thickBot="1" x14ac:dyDescent="0.3">
      <c r="A53" s="89" t="str">
        <f t="shared" si="12"/>
        <v>7g</v>
      </c>
      <c r="B53" s="228"/>
      <c r="C53" s="256"/>
      <c r="D53" s="225"/>
      <c r="E53" s="76" t="s">
        <v>48</v>
      </c>
      <c r="F53" s="77" t="s">
        <v>102</v>
      </c>
      <c r="G53" s="102" t="s">
        <v>39</v>
      </c>
      <c r="H53" s="101" t="s">
        <v>195</v>
      </c>
      <c r="I53" s="95" t="str">
        <f t="shared" si="2"/>
        <v>Mantenimiento del control</v>
      </c>
      <c r="J53" s="91">
        <f t="shared" si="13"/>
        <v>120</v>
      </c>
      <c r="K53" s="91">
        <v>0.85123400000000005</v>
      </c>
      <c r="L53" s="91">
        <f t="shared" si="3"/>
        <v>120.85123400000001</v>
      </c>
    </row>
    <row r="54" spans="1:17" s="42" customFormat="1" ht="102.75" customHeight="1" thickBot="1" x14ac:dyDescent="0.3">
      <c r="A54" s="89" t="str">
        <f>8&amp;E54</f>
        <v>8h</v>
      </c>
      <c r="B54" s="144" t="s">
        <v>103</v>
      </c>
      <c r="C54" s="145" t="s">
        <v>97</v>
      </c>
      <c r="D54" s="66" t="s">
        <v>104</v>
      </c>
      <c r="E54" s="71" t="s">
        <v>50</v>
      </c>
      <c r="F54" s="72" t="s">
        <v>105</v>
      </c>
      <c r="G54" s="97" t="s">
        <v>39</v>
      </c>
      <c r="H54" s="98" t="s">
        <v>216</v>
      </c>
      <c r="I54" s="90" t="str">
        <f t="shared" si="2"/>
        <v>Mantenimiento del control</v>
      </c>
      <c r="J54" s="91">
        <f t="shared" si="13"/>
        <v>120</v>
      </c>
      <c r="K54" s="91">
        <v>0.85123450000000001</v>
      </c>
      <c r="L54" s="91">
        <f t="shared" si="3"/>
        <v>120.8512345</v>
      </c>
    </row>
    <row r="55" spans="1:17" s="42" customFormat="1" ht="102" customHeight="1" x14ac:dyDescent="0.25">
      <c r="A55" s="89" t="str">
        <f>9&amp;E55</f>
        <v>9a</v>
      </c>
      <c r="B55" s="226" t="s">
        <v>106</v>
      </c>
      <c r="C55" s="254" t="s">
        <v>97</v>
      </c>
      <c r="D55" s="223" t="s">
        <v>107</v>
      </c>
      <c r="E55" s="71" t="s">
        <v>34</v>
      </c>
      <c r="F55" s="72" t="s">
        <v>108</v>
      </c>
      <c r="G55" s="97" t="s">
        <v>39</v>
      </c>
      <c r="H55" s="101" t="s">
        <v>236</v>
      </c>
      <c r="I55" s="90" t="str">
        <f t="shared" si="2"/>
        <v>Mantenimiento del control</v>
      </c>
      <c r="J55" s="91">
        <f t="shared" si="13"/>
        <v>120</v>
      </c>
      <c r="K55" s="96">
        <v>0.85123455999999997</v>
      </c>
      <c r="L55" s="91">
        <f t="shared" si="3"/>
        <v>120.85123455999999</v>
      </c>
      <c r="M55" s="41"/>
      <c r="N55" s="41"/>
      <c r="O55" s="41"/>
      <c r="P55" s="41"/>
      <c r="Q55" s="41"/>
    </row>
    <row r="56" spans="1:17" s="42" customFormat="1" ht="55.5" customHeight="1" x14ac:dyDescent="0.25">
      <c r="A56" s="89" t="str">
        <f t="shared" ref="A56:A59" si="14">9&amp;E56</f>
        <v>9b</v>
      </c>
      <c r="B56" s="227"/>
      <c r="C56" s="255"/>
      <c r="D56" s="224"/>
      <c r="E56" s="73" t="s">
        <v>37</v>
      </c>
      <c r="F56" s="75" t="s">
        <v>109</v>
      </c>
      <c r="G56" s="99" t="s">
        <v>39</v>
      </c>
      <c r="H56" s="101" t="s">
        <v>236</v>
      </c>
      <c r="I56" s="94" t="str">
        <f t="shared" si="2"/>
        <v>Mantenimiento del control</v>
      </c>
      <c r="J56" s="91">
        <f t="shared" si="13"/>
        <v>120</v>
      </c>
      <c r="K56" s="96">
        <v>0.851234567</v>
      </c>
      <c r="L56" s="91">
        <f t="shared" si="3"/>
        <v>120.85123456700001</v>
      </c>
      <c r="M56" s="41"/>
      <c r="N56" s="41"/>
      <c r="O56" s="41"/>
      <c r="P56" s="41"/>
      <c r="Q56" s="41"/>
    </row>
    <row r="57" spans="1:17" s="42" customFormat="1" ht="77.25" customHeight="1" x14ac:dyDescent="0.25">
      <c r="A57" s="89" t="str">
        <f t="shared" si="14"/>
        <v>9c</v>
      </c>
      <c r="B57" s="227"/>
      <c r="C57" s="255"/>
      <c r="D57" s="224"/>
      <c r="E57" s="73" t="s">
        <v>40</v>
      </c>
      <c r="F57" s="75" t="s">
        <v>110</v>
      </c>
      <c r="G57" s="99" t="s">
        <v>39</v>
      </c>
      <c r="H57" s="101" t="s">
        <v>236</v>
      </c>
      <c r="I57" s="94" t="str">
        <f t="shared" si="2"/>
        <v>Mantenimiento del control</v>
      </c>
      <c r="J57" s="91">
        <f t="shared" si="13"/>
        <v>120</v>
      </c>
      <c r="K57" s="96">
        <v>0.85123456779999995</v>
      </c>
      <c r="L57" s="91">
        <f t="shared" si="3"/>
        <v>120.85123456780001</v>
      </c>
      <c r="M57" s="41"/>
      <c r="N57" s="41"/>
      <c r="O57" s="41"/>
      <c r="P57" s="41"/>
      <c r="Q57" s="41"/>
    </row>
    <row r="58" spans="1:17" s="42" customFormat="1" ht="77.25" customHeight="1" x14ac:dyDescent="0.25">
      <c r="A58" s="89" t="str">
        <f t="shared" si="14"/>
        <v>9d</v>
      </c>
      <c r="B58" s="227"/>
      <c r="C58" s="255"/>
      <c r="D58" s="224"/>
      <c r="E58" s="73" t="s">
        <v>42</v>
      </c>
      <c r="F58" s="75" t="s">
        <v>111</v>
      </c>
      <c r="G58" s="99" t="s">
        <v>39</v>
      </c>
      <c r="H58" s="101" t="s">
        <v>202</v>
      </c>
      <c r="I58" s="94" t="str">
        <f t="shared" si="2"/>
        <v>Mantenimiento del control</v>
      </c>
      <c r="J58" s="91">
        <f t="shared" si="13"/>
        <v>120</v>
      </c>
      <c r="K58" s="96">
        <v>0.85123456788999996</v>
      </c>
      <c r="L58" s="91">
        <f t="shared" si="3"/>
        <v>120.85123456789</v>
      </c>
      <c r="M58" s="41"/>
      <c r="N58" s="41"/>
      <c r="O58" s="41"/>
      <c r="P58" s="41"/>
      <c r="Q58" s="41"/>
    </row>
    <row r="59" spans="1:17" s="42" customFormat="1" ht="77.25" customHeight="1" thickBot="1" x14ac:dyDescent="0.3">
      <c r="A59" s="89" t="str">
        <f t="shared" si="14"/>
        <v>9e</v>
      </c>
      <c r="B59" s="228"/>
      <c r="C59" s="255"/>
      <c r="D59" s="241"/>
      <c r="E59" s="76" t="s">
        <v>44</v>
      </c>
      <c r="F59" s="77" t="s">
        <v>112</v>
      </c>
      <c r="G59" s="102" t="s">
        <v>39</v>
      </c>
      <c r="H59" s="101" t="s">
        <v>237</v>
      </c>
      <c r="I59" s="95" t="str">
        <f t="shared" si="2"/>
        <v>Mantenimiento del control</v>
      </c>
      <c r="J59" s="91">
        <f t="shared" si="13"/>
        <v>120</v>
      </c>
      <c r="K59" s="96">
        <v>0.85123456789100005</v>
      </c>
      <c r="L59" s="91">
        <f t="shared" si="3"/>
        <v>120.851234567891</v>
      </c>
      <c r="M59" s="41"/>
      <c r="N59" s="41"/>
      <c r="O59" s="41"/>
      <c r="P59" s="41"/>
      <c r="Q59" s="41"/>
    </row>
  </sheetData>
  <sheetProtection algorithmName="SHA-512" hashValue="3f8q67IhQ+195mCCu45JxrnKZ5NQYpYn/4DMJ1qNlLoW+1h5DdlwjNz0RDsqicEeH5OxPhf5j92R5BAeBl6Iaw==" saltValue="5vY6GrPfNxnRatmVvJafnA==" spinCount="100000" sheet="1" objects="1" scenarios="1" formatCells="0" formatColumns="0" formatRows="0"/>
  <mergeCells count="25">
    <mergeCell ref="D55:D59"/>
    <mergeCell ref="B55:B59"/>
    <mergeCell ref="C16:C27"/>
    <mergeCell ref="C28:C31"/>
    <mergeCell ref="C38:C42"/>
    <mergeCell ref="C43:C49"/>
    <mergeCell ref="C50:C53"/>
    <mergeCell ref="C32:C34"/>
    <mergeCell ref="C35:C37"/>
    <mergeCell ref="C55:C59"/>
    <mergeCell ref="D32:D34"/>
    <mergeCell ref="B32:B34"/>
    <mergeCell ref="B35:B37"/>
    <mergeCell ref="D35:D37"/>
    <mergeCell ref="B38:B42"/>
    <mergeCell ref="D38:D42"/>
    <mergeCell ref="B14:I14"/>
    <mergeCell ref="D43:D49"/>
    <mergeCell ref="B43:B49"/>
    <mergeCell ref="D50:D53"/>
    <mergeCell ref="B50:B53"/>
    <mergeCell ref="D16:D27"/>
    <mergeCell ref="B16:B27"/>
    <mergeCell ref="B28:B31"/>
    <mergeCell ref="D28:D31"/>
  </mergeCells>
  <dataValidations count="2">
    <dataValidation type="list" allowBlank="1" showInputMessage="1" showErrorMessage="1" sqref="G55:G59 G16:G53" xr:uid="{00000000-0002-0000-0100-000000000000}">
      <formula1>"Si, No, En proceso"</formula1>
    </dataValidation>
    <dataValidation type="list" allowBlank="1" showInputMessage="1" showErrorMessage="1" sqref="G54" xr:uid="{00000000-0002-0000-0100-000001000000}">
      <formula1>"Si, No"</formula1>
    </dataValidation>
  </dataValidations>
  <pageMargins left="0.7" right="0.7" top="0.75" bottom="0.75" header="0.3" footer="0.3"/>
  <pageSetup scale="20" fitToHeight="3"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C74"/>
  <sheetViews>
    <sheetView showGridLines="0" topLeftCell="A16" zoomScale="80" zoomScaleNormal="80" workbookViewId="0">
      <selection activeCell="E21" sqref="E21"/>
    </sheetView>
  </sheetViews>
  <sheetFormatPr baseColWidth="10" defaultColWidth="11.42578125" defaultRowHeight="15" x14ac:dyDescent="0.25"/>
  <cols>
    <col min="3" max="3" width="22.85546875" customWidth="1"/>
    <col min="4" max="4" width="22.42578125" customWidth="1"/>
    <col min="5" max="5" width="53.42578125" customWidth="1"/>
    <col min="7" max="7" width="28.28515625" customWidth="1"/>
    <col min="8" max="8" width="4.85546875" customWidth="1"/>
    <col min="9" max="9" width="15.28515625" customWidth="1"/>
    <col min="10" max="10" width="22.42578125" customWidth="1"/>
    <col min="11" max="29" width="11.42578125" style="1"/>
  </cols>
  <sheetData>
    <row r="1" spans="1:11" x14ac:dyDescent="0.25">
      <c r="A1" s="1"/>
      <c r="B1" s="1"/>
      <c r="C1" s="1"/>
      <c r="D1" s="1"/>
      <c r="E1" s="1"/>
      <c r="F1" s="1"/>
      <c r="G1" s="1"/>
      <c r="H1" s="1"/>
      <c r="I1" s="1"/>
      <c r="J1" s="1"/>
    </row>
    <row r="2" spans="1:11" s="1" customFormat="1" x14ac:dyDescent="0.25"/>
    <row r="3" spans="1:11" s="1" customFormat="1" x14ac:dyDescent="0.25"/>
    <row r="4" spans="1:11" x14ac:dyDescent="0.25">
      <c r="A4" s="1"/>
      <c r="B4" s="1"/>
      <c r="C4" s="1"/>
      <c r="D4" s="1"/>
      <c r="E4" s="1"/>
      <c r="F4" s="1"/>
      <c r="G4" s="1"/>
      <c r="H4" s="1"/>
      <c r="I4" s="1"/>
      <c r="J4" s="1"/>
    </row>
    <row r="5" spans="1:11" x14ac:dyDescent="0.25">
      <c r="A5" s="1"/>
      <c r="B5" s="1"/>
      <c r="C5" s="1"/>
      <c r="D5" s="1"/>
      <c r="E5" s="1"/>
      <c r="F5" s="1"/>
      <c r="G5" s="1"/>
      <c r="H5" s="1"/>
      <c r="I5" s="1"/>
      <c r="J5" s="1"/>
    </row>
    <row r="6" spans="1:11" ht="15.75" thickBot="1" x14ac:dyDescent="0.3">
      <c r="A6" s="1"/>
      <c r="B6" s="1"/>
      <c r="C6" s="1"/>
      <c r="D6" s="1"/>
      <c r="E6" s="1"/>
      <c r="F6" s="1"/>
      <c r="G6" s="1"/>
      <c r="H6" s="1"/>
      <c r="I6" s="1"/>
      <c r="J6" s="1"/>
    </row>
    <row r="7" spans="1:11" ht="26.25" thickBot="1" x14ac:dyDescent="0.3">
      <c r="A7" s="1"/>
      <c r="B7" s="1"/>
      <c r="C7" s="270" t="s">
        <v>113</v>
      </c>
      <c r="D7" s="271"/>
      <c r="E7" s="271"/>
      <c r="F7" s="271"/>
      <c r="G7" s="271"/>
      <c r="H7" s="271"/>
      <c r="I7" s="271"/>
      <c r="J7" s="271"/>
      <c r="K7" s="272"/>
    </row>
    <row r="8" spans="1:11" s="1" customFormat="1" ht="15.75" thickBot="1" x14ac:dyDescent="0.3">
      <c r="C8" s="32"/>
      <c r="D8" s="32"/>
      <c r="E8" s="33"/>
      <c r="F8" s="33"/>
      <c r="G8" s="33"/>
      <c r="H8" s="33"/>
      <c r="I8" s="43"/>
      <c r="J8" s="33"/>
      <c r="K8" s="33"/>
    </row>
    <row r="9" spans="1:11" ht="21" thickBot="1" x14ac:dyDescent="0.3">
      <c r="A9" s="1"/>
      <c r="B9" s="1"/>
      <c r="C9" s="175" t="s">
        <v>15</v>
      </c>
      <c r="D9" s="176"/>
      <c r="E9" s="176" t="s">
        <v>16</v>
      </c>
      <c r="F9" s="187"/>
      <c r="G9" s="33"/>
      <c r="H9" s="33"/>
      <c r="I9" s="43"/>
      <c r="J9" s="33"/>
      <c r="K9" s="33"/>
    </row>
    <row r="10" spans="1:11" ht="54" customHeight="1" x14ac:dyDescent="0.25">
      <c r="A10" s="1"/>
      <c r="B10" s="1"/>
      <c r="C10" s="188" t="s">
        <v>17</v>
      </c>
      <c r="D10" s="189"/>
      <c r="E10" s="190" t="s">
        <v>18</v>
      </c>
      <c r="F10" s="191"/>
      <c r="G10" s="34"/>
      <c r="H10" s="35">
        <v>1</v>
      </c>
      <c r="I10" s="43"/>
      <c r="J10" s="33"/>
      <c r="K10" s="33"/>
    </row>
    <row r="11" spans="1:11" ht="46.5" customHeight="1" x14ac:dyDescent="0.25">
      <c r="A11" s="1"/>
      <c r="B11" s="1"/>
      <c r="C11" s="177" t="s">
        <v>19</v>
      </c>
      <c r="D11" s="178"/>
      <c r="E11" s="179" t="s">
        <v>114</v>
      </c>
      <c r="F11" s="180"/>
      <c r="G11" s="36" t="s">
        <v>115</v>
      </c>
      <c r="H11" s="35">
        <v>0.75</v>
      </c>
      <c r="I11" s="43"/>
      <c r="J11" s="33"/>
      <c r="K11" s="33"/>
    </row>
    <row r="12" spans="1:11" ht="70.5" customHeight="1" thickBot="1" x14ac:dyDescent="0.3">
      <c r="A12" s="1"/>
      <c r="B12" s="1"/>
      <c r="C12" s="181" t="s">
        <v>21</v>
      </c>
      <c r="D12" s="182"/>
      <c r="E12" s="183" t="s">
        <v>116</v>
      </c>
      <c r="F12" s="184"/>
      <c r="G12" s="37"/>
      <c r="H12" s="35">
        <v>0.25</v>
      </c>
      <c r="I12" s="43"/>
      <c r="J12" s="33"/>
      <c r="K12" s="33"/>
    </row>
    <row r="13" spans="1:11" s="1" customFormat="1" x14ac:dyDescent="0.25"/>
    <row r="14" spans="1:11" s="1" customFormat="1" x14ac:dyDescent="0.25"/>
    <row r="15" spans="1:11" s="1" customFormat="1" x14ac:dyDescent="0.25"/>
    <row r="16" spans="1:11" s="1" customFormat="1" ht="15.75" thickBot="1" x14ac:dyDescent="0.3"/>
    <row r="17" spans="1:10" x14ac:dyDescent="0.25">
      <c r="A17" s="1"/>
      <c r="B17" s="1"/>
      <c r="C17" s="278" t="s">
        <v>117</v>
      </c>
      <c r="D17" s="280" t="s">
        <v>118</v>
      </c>
      <c r="E17" s="281"/>
      <c r="F17" s="282" t="s">
        <v>119</v>
      </c>
      <c r="G17" s="284" t="s">
        <v>120</v>
      </c>
      <c r="H17" s="31"/>
      <c r="I17" s="273" t="s">
        <v>121</v>
      </c>
      <c r="J17" s="273" t="s">
        <v>122</v>
      </c>
    </row>
    <row r="18" spans="1:10" ht="36" customHeight="1" thickBot="1" x14ac:dyDescent="0.3">
      <c r="A18" s="1"/>
      <c r="B18" s="1"/>
      <c r="C18" s="279"/>
      <c r="D18" s="104" t="s">
        <v>123</v>
      </c>
      <c r="E18" s="105" t="s">
        <v>27</v>
      </c>
      <c r="F18" s="283"/>
      <c r="G18" s="285"/>
      <c r="H18" s="31"/>
      <c r="I18" s="274"/>
      <c r="J18" s="274"/>
    </row>
    <row r="19" spans="1:10" ht="65.25" customHeight="1" x14ac:dyDescent="0.25">
      <c r="A19" s="1"/>
      <c r="B19" s="1"/>
      <c r="C19" s="123">
        <v>1</v>
      </c>
      <c r="D19" s="275" t="s">
        <v>32</v>
      </c>
      <c r="E19" s="106" t="str">
        <f>+IFERROR(INDEX(Hoja1!$E$2:$E$45,MATCH('Análisis Resultados'!C19,Hoja1!$H$2:$H$45,0)),"")</f>
        <v>Un documento tal como un código de ética, integridad u otro que formalice los estándares de conducta, los principios institucionales o los valores del servicio público</v>
      </c>
      <c r="F19" s="107" t="str">
        <f>+IFERROR(VLOOKUP(C19,Hoja1!$H$2:$I$45,2,0),"")</f>
        <v>En proceso</v>
      </c>
      <c r="G19" s="108" t="str">
        <f>+IF(F19="Si","Existe requerimiento pero se requiere actividades  dirigidas a su mantenimiento dentro del marco de las lineas de defensa.",IF(F19="En proceso","Se encuentra en proceso, pero requiere continuar con acciones dirigidas a contar con dicho aspecto de control.","No se encuentra el aspecto  por lo tanto la entidad debera generar acciones dirigidas a que se cumpla con el requerimiento."))</f>
        <v>Se encuentra en proceso, pero requiere continuar con acciones dirigidas a contar con dicho aspecto de control.</v>
      </c>
      <c r="I19" s="124">
        <f>+IF(F19="Si",1,IF(F19="En proceso",0.5,0))</f>
        <v>0.5</v>
      </c>
      <c r="J19" s="288">
        <f>+AVERAGE(I19:I30)</f>
        <v>0.95833333333333337</v>
      </c>
    </row>
    <row r="20" spans="1:10" ht="45" x14ac:dyDescent="0.25">
      <c r="A20" s="1"/>
      <c r="B20" s="1"/>
      <c r="C20" s="123">
        <v>2</v>
      </c>
      <c r="D20" s="276"/>
      <c r="E20" s="109" t="str">
        <f>+IFERROR(INDEX(Hoja1!$E$2:$E$45,MATCH('Análisis Resultados'!C20,Hoja1!$H$2:$H$45,0)),"")</f>
        <v>Documento interno o adopción del MECI actualizado</v>
      </c>
      <c r="F20" s="110" t="str">
        <f>+IFERROR(VLOOKUP(C20,Hoja1!$H$2:$I$45,2,0),"")</f>
        <v>Si</v>
      </c>
      <c r="G20" s="111" t="str">
        <f t="shared" ref="G20:G62" si="0">+IF(F20="Si","Existe requerimiento pero se requiere actividades  dirigidas a su mantenimiento dentro del marco de las lineas de defensa.",IF(F20="En proceso","Se encuentra en proceso, pero requiere continuar con acciones dirigidas a contar con dicho aspecto de control.","No se encuentra el aspecto  por lo tanto la entidad debera generar acciones dirigidas a que se cumpla con el requerimiento."))</f>
        <v>Existe requerimiento pero se requiere actividades  dirigidas a su mantenimiento dentro del marco de las lineas de defensa.</v>
      </c>
      <c r="I20" s="125">
        <f t="shared" ref="I20:I62" si="1">+IF(F20="Si",1,IF(F20="En proceso",0.5,0))</f>
        <v>1</v>
      </c>
      <c r="J20" s="289"/>
    </row>
    <row r="21" spans="1:10" ht="45" x14ac:dyDescent="0.25">
      <c r="A21" s="1"/>
      <c r="B21" s="1"/>
      <c r="C21" s="123">
        <v>3</v>
      </c>
      <c r="D21" s="276"/>
      <c r="E21" s="109" t="str">
        <f>+IFERROR(INDEX(Hoja1!$E$2:$E$45,MATCH('Análisis Resultados'!C21,Hoja1!$H$2:$H$45,0)),"")</f>
        <v>Planes, programas y proyectos de acuerdo con las normas que rigen y atendiendo con su propósito fundamental institucional (misión)</v>
      </c>
      <c r="F21" s="110" t="str">
        <f>+IFERROR(VLOOKUP(C21,Hoja1!$H$2:$I$45,2,0),"")</f>
        <v>Si</v>
      </c>
      <c r="G21" s="111" t="str">
        <f t="shared" si="0"/>
        <v>Existe requerimiento pero se requiere actividades  dirigidas a su mantenimiento dentro del marco de las lineas de defensa.</v>
      </c>
      <c r="I21" s="125">
        <f t="shared" si="1"/>
        <v>1</v>
      </c>
      <c r="J21" s="289"/>
    </row>
    <row r="22" spans="1:10" ht="56.25" customHeight="1" x14ac:dyDescent="0.25">
      <c r="A22" s="1"/>
      <c r="B22" s="1"/>
      <c r="C22" s="123">
        <v>4</v>
      </c>
      <c r="D22" s="276"/>
      <c r="E22" s="109" t="str">
        <f>+IFERROR(INDEX(Hoja1!$E$2:$E$45,MATCH('Análisis Resultados'!C22,Hoja1!$H$2:$H$45,0)),"")</f>
        <v>Una estructura organizacional formalizada (organigrama)</v>
      </c>
      <c r="F22" s="110" t="str">
        <f>+IFERROR(VLOOKUP(C22,Hoja1!$H$2:$I$45,2,0),"")</f>
        <v>Si</v>
      </c>
      <c r="G22" s="111" t="str">
        <f t="shared" si="0"/>
        <v>Existe requerimiento pero se requiere actividades  dirigidas a su mantenimiento dentro del marco de las lineas de defensa.</v>
      </c>
      <c r="I22" s="125">
        <f t="shared" si="1"/>
        <v>1</v>
      </c>
      <c r="J22" s="289"/>
    </row>
    <row r="23" spans="1:10" ht="45" x14ac:dyDescent="0.25">
      <c r="A23" s="1"/>
      <c r="B23" s="1"/>
      <c r="C23" s="123">
        <v>5</v>
      </c>
      <c r="D23" s="276"/>
      <c r="E23" s="109" t="str">
        <f>+IFERROR(INDEX(Hoja1!$E$2:$E$45,MATCH('Análisis Resultados'!C23,Hoja1!$H$2:$H$45,0)),"")</f>
        <v>Un manual de funciones que describa los empleos de la entidad</v>
      </c>
      <c r="F23" s="110" t="str">
        <f>+IFERROR(VLOOKUP(C23,Hoja1!$H$2:$I$45,2,0),"")</f>
        <v>Si</v>
      </c>
      <c r="G23" s="111" t="str">
        <f t="shared" si="0"/>
        <v>Existe requerimiento pero se requiere actividades  dirigidas a su mantenimiento dentro del marco de las lineas de defensa.</v>
      </c>
      <c r="I23" s="125">
        <f t="shared" si="1"/>
        <v>1</v>
      </c>
      <c r="J23" s="289"/>
    </row>
    <row r="24" spans="1:10" ht="45" x14ac:dyDescent="0.25">
      <c r="A24" s="1"/>
      <c r="B24" s="1"/>
      <c r="C24" s="123">
        <v>6</v>
      </c>
      <c r="D24" s="276"/>
      <c r="E24" s="109" t="str">
        <f>+IFERROR(INDEX(Hoja1!$E$2:$E$45,MATCH('Análisis Resultados'!C24,Hoja1!$H$2:$H$45,0)),"")</f>
        <v>La documentación de sus procesos y procedimientos o bien una lista de actividades principales que permitan conocer el estado de su gestión</v>
      </c>
      <c r="F24" s="110" t="str">
        <f>+IFERROR(VLOOKUP(C24,Hoja1!$H$2:$I$45,2,0),"")</f>
        <v>Si</v>
      </c>
      <c r="G24" s="111" t="str">
        <f t="shared" si="0"/>
        <v>Existe requerimiento pero se requiere actividades  dirigidas a su mantenimiento dentro del marco de las lineas de defensa.</v>
      </c>
      <c r="I24" s="125">
        <f t="shared" si="1"/>
        <v>1</v>
      </c>
      <c r="J24" s="289"/>
    </row>
    <row r="25" spans="1:10" ht="57" x14ac:dyDescent="0.25">
      <c r="A25" s="1"/>
      <c r="B25" s="1"/>
      <c r="C25" s="123">
        <v>7</v>
      </c>
      <c r="D25" s="276"/>
      <c r="E25" s="109" t="str">
        <f>+IFERROR(INDEX(Hoja1!$E$2:$E$45,MATCH('Análisis Resultados'!C25,Hoja1!$H$2:$H$45,0)),"")</f>
        <v>Vinculación de los servidores públicos de acuerdo con el marco normativo que les rige (carrera administrativa, libre nombramiento y remoción, entre otros)</v>
      </c>
      <c r="F25" s="110" t="str">
        <f>+IFERROR(VLOOKUP(C25,Hoja1!$H$2:$I$45,2,0),"")</f>
        <v>Si</v>
      </c>
      <c r="G25" s="111" t="str">
        <f t="shared" si="0"/>
        <v>Existe requerimiento pero se requiere actividades  dirigidas a su mantenimiento dentro del marco de las lineas de defensa.</v>
      </c>
      <c r="I25" s="125">
        <f t="shared" si="1"/>
        <v>1</v>
      </c>
      <c r="J25" s="289"/>
    </row>
    <row r="26" spans="1:10" ht="45" x14ac:dyDescent="0.25">
      <c r="A26" s="1"/>
      <c r="B26" s="1"/>
      <c r="C26" s="123">
        <v>8</v>
      </c>
      <c r="D26" s="276"/>
      <c r="E26" s="109" t="str">
        <f>+IFERROR(INDEX(Hoja1!$E$2:$E$45,MATCH('Análisis Resultados'!C26,Hoja1!$H$2:$H$45,0)),"")</f>
        <v>Procesos de inducción, capacitación y bienestar social para sus servidores públicos, de manera directa o en asociación con otras entidades municipales</v>
      </c>
      <c r="F26" s="110" t="str">
        <f>+IFERROR(VLOOKUP(C26,Hoja1!$H$2:$I$45,2,0),"")</f>
        <v>Si</v>
      </c>
      <c r="G26" s="111" t="str">
        <f t="shared" si="0"/>
        <v>Existe requerimiento pero se requiere actividades  dirigidas a su mantenimiento dentro del marco de las lineas de defensa.</v>
      </c>
      <c r="I26" s="125">
        <f t="shared" si="1"/>
        <v>1</v>
      </c>
      <c r="J26" s="289"/>
    </row>
    <row r="27" spans="1:10" ht="45" x14ac:dyDescent="0.25">
      <c r="A27" s="1"/>
      <c r="B27" s="1"/>
      <c r="C27" s="123">
        <v>9</v>
      </c>
      <c r="D27" s="276"/>
      <c r="E27" s="109" t="str">
        <f>+IFERROR(INDEX(Hoja1!$E$2:$E$45,MATCH('Análisis Resultados'!C27,Hoja1!$H$2:$H$45,0)),"")</f>
        <v>Evaluación a los servidores públicos de acuerdo con el marco normativo que le rige</v>
      </c>
      <c r="F27" s="110" t="str">
        <f>+IFERROR(VLOOKUP(C27,Hoja1!$H$2:$I$45,2,0),"")</f>
        <v>Si</v>
      </c>
      <c r="G27" s="111" t="str">
        <f t="shared" si="0"/>
        <v>Existe requerimiento pero se requiere actividades  dirigidas a su mantenimiento dentro del marco de las lineas de defensa.</v>
      </c>
      <c r="I27" s="125">
        <f t="shared" si="1"/>
        <v>1</v>
      </c>
      <c r="J27" s="289"/>
    </row>
    <row r="28" spans="1:10" ht="45" x14ac:dyDescent="0.25">
      <c r="A28" s="1"/>
      <c r="B28" s="1"/>
      <c r="C28" s="123">
        <v>10</v>
      </c>
      <c r="D28" s="276"/>
      <c r="E28" s="109" t="str">
        <f>+IFERROR(INDEX(Hoja1!$E$2:$E$45,MATCH('Análisis Resultados'!C28,Hoja1!$H$2:$H$45,0)),"")</f>
        <v>Procesos de desvinculación de servidores de acuerdo con lo previsto en la Constitución Política y las leyes</v>
      </c>
      <c r="F28" s="110" t="str">
        <f>+IFERROR(VLOOKUP(C28,Hoja1!$H$2:$I$45,2,0),"")</f>
        <v>Si</v>
      </c>
      <c r="G28" s="111" t="str">
        <f t="shared" si="0"/>
        <v>Existe requerimiento pero se requiere actividades  dirigidas a su mantenimiento dentro del marco de las lineas de defensa.</v>
      </c>
      <c r="I28" s="125">
        <f t="shared" si="1"/>
        <v>1</v>
      </c>
      <c r="J28" s="289"/>
    </row>
    <row r="29" spans="1:10" ht="45" x14ac:dyDescent="0.25">
      <c r="A29" s="1"/>
      <c r="B29" s="1"/>
      <c r="C29" s="123">
        <v>11</v>
      </c>
      <c r="D29" s="276"/>
      <c r="E29" s="109" t="str">
        <f>+IFERROR(INDEX(Hoja1!$E$2:$E$45,MATCH('Análisis Resultados'!C29,Hoja1!$H$2:$H$45,0)),"")</f>
        <v>Mecanismos de rendición de cuentas a la ciudadanía</v>
      </c>
      <c r="F29" s="110" t="str">
        <f>+IFERROR(VLOOKUP(C29,Hoja1!$H$2:$I$45,2,0),"")</f>
        <v>Si</v>
      </c>
      <c r="G29" s="111" t="str">
        <f>+IF(F29="Si","Existe requerimiento pero se requiere actividades  dirigidas a su mantenimiento dentro del marco de las lineas de defensa.",IF(F29="En proceso","Se encuentra en proceso, pero requiere continuar con acciones dirigidas a contar con dicho aspecto de control.","No se encuentra el aspecto  por lo tanto la entidad debera generar acciones dirigidas a que se cumpla con el requerimiento."))</f>
        <v>Existe requerimiento pero se requiere actividades  dirigidas a su mantenimiento dentro del marco de las lineas de defensa.</v>
      </c>
      <c r="I29" s="125">
        <f t="shared" si="1"/>
        <v>1</v>
      </c>
      <c r="J29" s="289"/>
    </row>
    <row r="30" spans="1:10" ht="45.75" thickBot="1" x14ac:dyDescent="0.3">
      <c r="A30" s="1"/>
      <c r="B30" s="1"/>
      <c r="C30" s="123">
        <v>12</v>
      </c>
      <c r="D30" s="277"/>
      <c r="E30" s="112" t="str">
        <f>+IFERROR(INDEX(Hoja1!$E$2:$E$45,MATCH('Análisis Resultados'!C30,Hoja1!$H$2:$H$45,0)),"")</f>
        <v>Presentación oportuna de sus informes de gestión a las autoridades competentes</v>
      </c>
      <c r="F30" s="113" t="str">
        <f>+IFERROR(VLOOKUP(C30,Hoja1!$H$2:$I$45,2,0),"")</f>
        <v>Si</v>
      </c>
      <c r="G30" s="114" t="str">
        <f t="shared" si="0"/>
        <v>Existe requerimiento pero se requiere actividades  dirigidas a su mantenimiento dentro del marco de las lineas de defensa.</v>
      </c>
      <c r="I30" s="126">
        <f t="shared" si="1"/>
        <v>1</v>
      </c>
      <c r="J30" s="290"/>
    </row>
    <row r="31" spans="1:10" ht="45" customHeight="1" x14ac:dyDescent="0.25">
      <c r="A31" s="1"/>
      <c r="B31" s="1"/>
      <c r="C31" s="123">
        <v>13</v>
      </c>
      <c r="D31" s="302" t="s">
        <v>61</v>
      </c>
      <c r="E31" s="106" t="str">
        <f>+IFERROR(INDEX(Hoja1!$E$2:$E$45,MATCH('Análisis Resultados'!C31,Hoja1!$H$2:$H$45,0)),"")</f>
        <v>Identifican deficiencias en las maneras de  controlar los riesgos o problemas en sus procesos, programas o proyectos, y propone los ajustes necesarios</v>
      </c>
      <c r="F31" s="107" t="str">
        <f>+IFERROR(VLOOKUP(C31,Hoja1!$H$2:$I$45,2,0),"")</f>
        <v>En proceso</v>
      </c>
      <c r="G31" s="108" t="str">
        <f t="shared" si="0"/>
        <v>Se encuentra en proceso, pero requiere continuar con acciones dirigidas a contar con dicho aspecto de control.</v>
      </c>
      <c r="I31" s="124">
        <f t="shared" si="1"/>
        <v>0.5</v>
      </c>
      <c r="J31" s="286">
        <f>+AVERAGE(I31:I40)</f>
        <v>0.85</v>
      </c>
    </row>
    <row r="32" spans="1:10" ht="57" customHeight="1" x14ac:dyDescent="0.25">
      <c r="A32" s="1"/>
      <c r="B32" s="1"/>
      <c r="C32" s="123">
        <v>14</v>
      </c>
      <c r="D32" s="303"/>
      <c r="E32" s="109" t="str">
        <f>+IFERROR(INDEX(Hoja1!$E$2:$E$45,MATCH('Análisis Resultados'!C32,Hoja1!$H$2:$H$45,0)),"")</f>
        <v>Se definen espacios de reunión para conocerlos y proponer acciones para su solución</v>
      </c>
      <c r="F32" s="110" t="str">
        <f>+IFERROR(VLOOKUP(C32,Hoja1!$H$2:$I$45,2,0),"")</f>
        <v>En proceso</v>
      </c>
      <c r="G32" s="111" t="str">
        <f t="shared" si="0"/>
        <v>Se encuentra en proceso, pero requiere continuar con acciones dirigidas a contar con dicho aspecto de control.</v>
      </c>
      <c r="I32" s="125">
        <f t="shared" si="1"/>
        <v>0.5</v>
      </c>
      <c r="J32" s="287"/>
    </row>
    <row r="33" spans="1:10" ht="54" customHeight="1" x14ac:dyDescent="0.25">
      <c r="A33" s="1"/>
      <c r="B33" s="1"/>
      <c r="C33" s="123">
        <v>15</v>
      </c>
      <c r="D33" s="303"/>
      <c r="E33" s="109" t="str">
        <f>+IFERROR(INDEX(Hoja1!$E$2:$E$45,MATCH('Análisis Resultados'!C33,Hoja1!$H$2:$H$45,0)),"")</f>
        <v>Cada líder del equipo autónomamente toma las acciones para solucionarlos.</v>
      </c>
      <c r="F33" s="110" t="str">
        <f>+IFERROR(VLOOKUP(C33,Hoja1!$H$2:$I$45,2,0),"")</f>
        <v>En proceso</v>
      </c>
      <c r="G33" s="111" t="str">
        <f t="shared" si="0"/>
        <v>Se encuentra en proceso, pero requiere continuar con acciones dirigidas a contar con dicho aspecto de control.</v>
      </c>
      <c r="I33" s="125">
        <f t="shared" si="1"/>
        <v>0.5</v>
      </c>
      <c r="J33" s="287"/>
    </row>
    <row r="34" spans="1:10" ht="45" x14ac:dyDescent="0.25">
      <c r="A34" s="1"/>
      <c r="B34" s="1"/>
      <c r="C34" s="123">
        <v>16</v>
      </c>
      <c r="D34" s="303"/>
      <c r="E34" s="109" t="str">
        <f>+IFERROR(INDEX(Hoja1!$E$2:$E$45,MATCH('Análisis Resultados'!C34,Hoja1!$H$2:$H$45,0)),"")</f>
        <v>La identificación de cambios en su entorno que pueden generar consecuencias negativas en su gestión</v>
      </c>
      <c r="F34" s="110" t="str">
        <f>+IFERROR(VLOOKUP(C34,Hoja1!$H$2:$I$45,2,0),"")</f>
        <v>Si</v>
      </c>
      <c r="G34" s="111" t="str">
        <f t="shared" si="0"/>
        <v>Existe requerimiento pero se requiere actividades  dirigidas a su mantenimiento dentro del marco de las lineas de defensa.</v>
      </c>
      <c r="I34" s="125">
        <f t="shared" si="1"/>
        <v>1</v>
      </c>
      <c r="J34" s="287"/>
    </row>
    <row r="35" spans="1:10" ht="67.5" customHeight="1" x14ac:dyDescent="0.25">
      <c r="A35" s="1"/>
      <c r="B35" s="1"/>
      <c r="C35" s="123">
        <v>17</v>
      </c>
      <c r="D35" s="303"/>
      <c r="E35" s="109" t="str">
        <f>+IFERROR(INDEX(Hoja1!$E$2:$E$45,MATCH('Análisis Resultados'!C35,Hoja1!$H$2:$H$45,0)),"")</f>
        <v>La identificación de aquellos problemas o aspectos que pueden afectar el cumplimiento de los planes de la entidad y en general su gestión institucional (riesgos)</v>
      </c>
      <c r="F35" s="110" t="str">
        <f>+IFERROR(VLOOKUP(C35,Hoja1!$H$2:$I$45,2,0),"")</f>
        <v>Si</v>
      </c>
      <c r="G35" s="111" t="str">
        <f t="shared" si="0"/>
        <v>Existe requerimiento pero se requiere actividades  dirigidas a su mantenimiento dentro del marco de las lineas de defensa.</v>
      </c>
      <c r="I35" s="125">
        <f t="shared" si="1"/>
        <v>1</v>
      </c>
      <c r="J35" s="287"/>
    </row>
    <row r="36" spans="1:10" ht="45" x14ac:dyDescent="0.25">
      <c r="A36" s="1"/>
      <c r="B36" s="1"/>
      <c r="C36" s="123">
        <v>18</v>
      </c>
      <c r="D36" s="303"/>
      <c r="E36" s="109" t="str">
        <f>+IFERROR(INDEX(Hoja1!$E$2:$E$45,MATCH('Análisis Resultados'!C36,Hoja1!$H$2:$H$45,0)),"")</f>
        <v>La identificación  de los riesgos relacionados con posibles actos de corrupción en el ejercicio de sus funciones</v>
      </c>
      <c r="F36" s="110" t="str">
        <f>+IFERROR(VLOOKUP(C36,Hoja1!$H$2:$I$45,2,0),"")</f>
        <v>Si</v>
      </c>
      <c r="G36" s="111" t="str">
        <f t="shared" si="0"/>
        <v>Existe requerimiento pero se requiere actividades  dirigidas a su mantenimiento dentro del marco de las lineas de defensa.</v>
      </c>
      <c r="I36" s="125">
        <f t="shared" si="1"/>
        <v>1</v>
      </c>
      <c r="J36" s="287"/>
    </row>
    <row r="37" spans="1:10" ht="57" customHeight="1" x14ac:dyDescent="0.25">
      <c r="A37" s="1"/>
      <c r="B37" s="1"/>
      <c r="C37" s="123">
        <v>19</v>
      </c>
      <c r="D37" s="303"/>
      <c r="E37" s="109" t="str">
        <f>+IFERROR(INDEX(Hoja1!$E$2:$E$45,MATCH('Análisis Resultados'!C37,Hoja1!$H$2:$H$45,0)),"")</f>
        <v>Si su capacidad e infraestructura lo permite, identificación de riesgos asociados a las tecnologías de la información y las comunicaciones</v>
      </c>
      <c r="F37" s="110" t="str">
        <f>+IFERROR(VLOOKUP(C37,Hoja1!$H$2:$I$45,2,0),"")</f>
        <v>Si</v>
      </c>
      <c r="G37" s="111" t="str">
        <f t="shared" si="0"/>
        <v>Existe requerimiento pero se requiere actividades  dirigidas a su mantenimiento dentro del marco de las lineas de defensa.</v>
      </c>
      <c r="I37" s="125">
        <f t="shared" si="1"/>
        <v>1</v>
      </c>
      <c r="J37" s="287"/>
    </row>
    <row r="38" spans="1:10" ht="45" x14ac:dyDescent="0.25">
      <c r="A38" s="1"/>
      <c r="B38" s="1"/>
      <c r="C38" s="123">
        <v>20</v>
      </c>
      <c r="D38" s="303"/>
      <c r="E38" s="109" t="str">
        <f>+IFERROR(INDEX(Hoja1!$E$2:$E$45,MATCH('Análisis Resultados'!C38,Hoja1!$H$2:$H$45,0)),"")</f>
        <v>Hacen seguimiento a los problemas (riesgos)  que pueden afectar el cumplimiento de sus procesos, programas o proyectos a cargo</v>
      </c>
      <c r="F38" s="110" t="str">
        <f>+IFERROR(VLOOKUP(C38,Hoja1!$H$2:$I$45,2,0),"")</f>
        <v>Si</v>
      </c>
      <c r="G38" s="111" t="str">
        <f t="shared" si="0"/>
        <v>Existe requerimiento pero se requiere actividades  dirigidas a su mantenimiento dentro del marco de las lineas de defensa.</v>
      </c>
      <c r="I38" s="125">
        <f t="shared" si="1"/>
        <v>1</v>
      </c>
      <c r="J38" s="287"/>
    </row>
    <row r="39" spans="1:10" ht="45" x14ac:dyDescent="0.25">
      <c r="A39" s="1"/>
      <c r="B39" s="1"/>
      <c r="C39" s="123">
        <v>21</v>
      </c>
      <c r="D39" s="303"/>
      <c r="E39" s="109" t="str">
        <f>+IFERROR(INDEX(Hoja1!$E$2:$E$45,MATCH('Análisis Resultados'!C39,Hoja1!$H$2:$H$45,0)),"")</f>
        <v>Informan de manera periódica a quien corresponda sobre el desempeño de las actividades de gestión de riesgos</v>
      </c>
      <c r="F39" s="110" t="str">
        <f>+IFERROR(VLOOKUP(C39,Hoja1!$H$2:$I$45,2,0),"")</f>
        <v>Si</v>
      </c>
      <c r="G39" s="111" t="str">
        <f t="shared" si="0"/>
        <v>Existe requerimiento pero se requiere actividades  dirigidas a su mantenimiento dentro del marco de las lineas de defensa.</v>
      </c>
      <c r="I39" s="125">
        <f t="shared" si="1"/>
        <v>1</v>
      </c>
      <c r="J39" s="287"/>
    </row>
    <row r="40" spans="1:10" ht="45.75" thickBot="1" x14ac:dyDescent="0.3">
      <c r="A40" s="1"/>
      <c r="B40" s="1"/>
      <c r="C40" s="123">
        <v>22</v>
      </c>
      <c r="D40" s="303"/>
      <c r="E40" s="115" t="str">
        <f>+IFERROR(INDEX(Hoja1!$E$2:$E$45,MATCH('Análisis Resultados'!C40,Hoja1!$H$2:$H$45,0)),"")</f>
        <v>Solamente hasta que un organismo de control actúa se definen acciones de mejora.</v>
      </c>
      <c r="F40" s="116" t="str">
        <f>+IFERROR(VLOOKUP(C40,Hoja1!$H$2:$I$45,2,0),"")</f>
        <v>Si</v>
      </c>
      <c r="G40" s="117" t="str">
        <f t="shared" si="0"/>
        <v>Existe requerimiento pero se requiere actividades  dirigidas a su mantenimiento dentro del marco de las lineas de defensa.</v>
      </c>
      <c r="I40" s="127">
        <f t="shared" si="1"/>
        <v>1</v>
      </c>
      <c r="J40" s="287"/>
    </row>
    <row r="41" spans="1:10" ht="87.75" customHeight="1" x14ac:dyDescent="0.25">
      <c r="A41" s="1"/>
      <c r="B41" s="1"/>
      <c r="C41" s="123">
        <v>23</v>
      </c>
      <c r="D41" s="298" t="s">
        <v>79</v>
      </c>
      <c r="E41" s="106" t="str">
        <f>+IFERROR(INDEX(Hoja1!$E$2:$E$45,MATCH('Análisis Resultados'!C41,Hoja1!$H$2:$H$45,0)),"")</f>
        <v>La definición de acciones o actividades para para dar tratamiento a los problemas identificados (mitigación de riesgos), incluyendo aquellos asociados a posibles actos de corrupción</v>
      </c>
      <c r="F41" s="107" t="str">
        <f>+IFERROR(VLOOKUP(C41,Hoja1!$H$2:$I$45,2,0),"")</f>
        <v>Si</v>
      </c>
      <c r="G41" s="108" t="str">
        <f t="shared" si="0"/>
        <v>Existe requerimiento pero se requiere actividades  dirigidas a su mantenimiento dentro del marco de las lineas de defensa.</v>
      </c>
      <c r="I41" s="124">
        <f t="shared" si="1"/>
        <v>1</v>
      </c>
      <c r="J41" s="286">
        <f>+AVERAGE(I41:I45)</f>
        <v>1</v>
      </c>
    </row>
    <row r="42" spans="1:10" ht="57" x14ac:dyDescent="0.25">
      <c r="A42" s="1"/>
      <c r="B42" s="1"/>
      <c r="C42" s="123">
        <v>24</v>
      </c>
      <c r="D42" s="299"/>
      <c r="E42" s="109" t="str">
        <f>+IFERROR(INDEX(Hoja1!$E$2:$E$45,MATCH('Análisis Resultados'!C42,Hoja1!$H$2:$H$45,0)),"")</f>
        <v>Mecanismos de verificación de si se están o no mitigando los riesgos, o en su defecto, elaboración de planes de contingencia para subsanar sus consecuencias</v>
      </c>
      <c r="F42" s="110" t="str">
        <f>+IFERROR(VLOOKUP(C42,Hoja1!$H$2:$I$45,2,0),"")</f>
        <v>Si</v>
      </c>
      <c r="G42" s="111" t="str">
        <f t="shared" si="0"/>
        <v>Existe requerimiento pero se requiere actividades  dirigidas a su mantenimiento dentro del marco de las lineas de defensa.</v>
      </c>
      <c r="I42" s="125">
        <f t="shared" si="1"/>
        <v>1</v>
      </c>
      <c r="J42" s="287"/>
    </row>
    <row r="43" spans="1:10" ht="85.5" customHeight="1" x14ac:dyDescent="0.25">
      <c r="A43" s="1"/>
      <c r="B43" s="1"/>
      <c r="C43" s="123">
        <v>25</v>
      </c>
      <c r="D43" s="299"/>
      <c r="E43" s="109" t="str">
        <f>+IFERROR(INDEX(Hoja1!$E$2:$E$45,MATCH('Análisis Resultados'!C43,Hoja1!$H$2:$H$45,0)),"")</f>
        <v>Planes, acciones o estrategias que permitan subsanar las consecuencias de la materialización de los riesgos, cuando se presentan</v>
      </c>
      <c r="F43" s="110" t="str">
        <f>+IFERROR(VLOOKUP(C43,Hoja1!$H$2:$I$45,2,0),"")</f>
        <v>Si</v>
      </c>
      <c r="G43" s="111" t="str">
        <f t="shared" si="0"/>
        <v>Existe requerimiento pero se requiere actividades  dirigidas a su mantenimiento dentro del marco de las lineas de defensa.</v>
      </c>
      <c r="I43" s="125">
        <f t="shared" si="1"/>
        <v>1</v>
      </c>
      <c r="J43" s="287"/>
    </row>
    <row r="44" spans="1:10" ht="57" customHeight="1" x14ac:dyDescent="0.25">
      <c r="A44" s="1"/>
      <c r="B44" s="1"/>
      <c r="C44" s="123">
        <v>26</v>
      </c>
      <c r="D44" s="299"/>
      <c r="E44" s="109" t="str">
        <f>+IFERROR(INDEX(Hoja1!$E$2:$E$45,MATCH('Análisis Resultados'!C44,Hoja1!$H$2:$H$45,0)),"")</f>
        <v>Un documento que consolide  los riesgos  y el tratamiento que se les da, incluyendo aquellos que conllevan posibles actos de corrupción y si la capacidad e infraestructura lo permite, los asociados con las tecnologías de la información y las comunicaciones</v>
      </c>
      <c r="F44" s="110" t="str">
        <f>+IFERROR(VLOOKUP(C44,Hoja1!$H$2:$I$45,2,0),"")</f>
        <v>Si</v>
      </c>
      <c r="G44" s="111" t="str">
        <f t="shared" si="0"/>
        <v>Existe requerimiento pero se requiere actividades  dirigidas a su mantenimiento dentro del marco de las lineas de defensa.</v>
      </c>
      <c r="I44" s="125">
        <f t="shared" si="1"/>
        <v>1</v>
      </c>
      <c r="J44" s="287"/>
    </row>
    <row r="45" spans="1:10" ht="57" customHeight="1" thickBot="1" x14ac:dyDescent="0.3">
      <c r="A45" s="1"/>
      <c r="B45" s="1"/>
      <c r="C45" s="123">
        <v>27</v>
      </c>
      <c r="D45" s="300"/>
      <c r="E45" s="112" t="str">
        <f>+IFERROR(INDEX(Hoja1!$E$2:$E$45,MATCH('Análisis Resultados'!C45,Hoja1!$H$2:$H$45,0)),"")</f>
        <v>Un plan anticorrupción y de servicio al ciudadano con los temas que le aplican, publicado en algún medio para conocimiento de la ciudadanía</v>
      </c>
      <c r="F45" s="113" t="str">
        <f>+IFERROR(VLOOKUP(C45,Hoja1!$H$2:$I$45,2,0),"")</f>
        <v>Si</v>
      </c>
      <c r="G45" s="114" t="str">
        <f t="shared" si="0"/>
        <v>Existe requerimiento pero se requiere actividades  dirigidas a su mantenimiento dentro del marco de las lineas de defensa.</v>
      </c>
      <c r="I45" s="126">
        <f t="shared" si="1"/>
        <v>1</v>
      </c>
      <c r="J45" s="301"/>
    </row>
    <row r="46" spans="1:10" ht="63.75" customHeight="1" x14ac:dyDescent="0.25">
      <c r="A46" s="1"/>
      <c r="B46" s="1"/>
      <c r="C46" s="123">
        <v>28</v>
      </c>
      <c r="D46" s="297" t="s">
        <v>87</v>
      </c>
      <c r="E46" s="118" t="str">
        <f>+IFERROR(INDEX(Hoja1!$E$2:$E$45,MATCH('Análisis Resultados'!C46,Hoja1!$H$2:$H$45,0)),"")</f>
        <v>Identificación de información necesaria para la operación de la entidad (normograma, presupuesto, talento humano, infraestructura física y tecnológica)</v>
      </c>
      <c r="F46" s="119" t="str">
        <f>+IFERROR(VLOOKUP(C46,Hoja1!$H$2:$I$45,2,0),"")</f>
        <v>En proceso</v>
      </c>
      <c r="G46" s="120" t="str">
        <f t="shared" si="0"/>
        <v>Se encuentra en proceso, pero requiere continuar con acciones dirigidas a contar con dicho aspecto de control.</v>
      </c>
      <c r="I46" s="128">
        <f t="shared" si="1"/>
        <v>0.5</v>
      </c>
      <c r="J46" s="287">
        <f>+AVERAGE(I46:I52)</f>
        <v>0.8571428571428571</v>
      </c>
    </row>
    <row r="47" spans="1:10" ht="92.25" customHeight="1" x14ac:dyDescent="0.25">
      <c r="A47" s="1"/>
      <c r="B47" s="1"/>
      <c r="C47" s="123">
        <v>29</v>
      </c>
      <c r="D47" s="297"/>
      <c r="E47" s="109" t="str">
        <f>+IFERROR(INDEX(Hoja1!$E$2:$E$45,MATCH('Análisis Resultados'!C47,Hoja1!$H$2:$H$45,0)),"")</f>
        <v>Si su capacidad e infraestructura lo permite, tecnologías de la información y las comunicaciones que soporten estos procesos</v>
      </c>
      <c r="F47" s="110" t="str">
        <f>+IFERROR(VLOOKUP(C47,Hoja1!$H$2:$I$45,2,0),"")</f>
        <v>En proceso</v>
      </c>
      <c r="G47" s="121" t="str">
        <f t="shared" si="0"/>
        <v>Se encuentra en proceso, pero requiere continuar con acciones dirigidas a contar con dicho aspecto de control.</v>
      </c>
      <c r="I47" s="129">
        <f t="shared" si="1"/>
        <v>0.5</v>
      </c>
      <c r="J47" s="287"/>
    </row>
    <row r="48" spans="1:10" ht="66.75" customHeight="1" x14ac:dyDescent="0.25">
      <c r="A48" s="1"/>
      <c r="B48" s="1"/>
      <c r="C48" s="123">
        <v>30</v>
      </c>
      <c r="D48" s="297"/>
      <c r="E48" s="109" t="str">
        <f>+IFERROR(INDEX(Hoja1!$E$2:$E$45,MATCH('Análisis Resultados'!C48,Hoja1!$H$2:$H$45,0)),"")</f>
        <v>Responsables de la información institucional</v>
      </c>
      <c r="F48" s="110" t="str">
        <f>+IFERROR(VLOOKUP(C48,Hoja1!$H$2:$I$45,2,0),"")</f>
        <v>Si</v>
      </c>
      <c r="G48" s="121" t="str">
        <f t="shared" si="0"/>
        <v>Existe requerimiento pero se requiere actividades  dirigidas a su mantenimiento dentro del marco de las lineas de defensa.</v>
      </c>
      <c r="I48" s="129">
        <f t="shared" si="1"/>
        <v>1</v>
      </c>
      <c r="J48" s="287"/>
    </row>
    <row r="49" spans="1:10" ht="60" customHeight="1" x14ac:dyDescent="0.25">
      <c r="A49" s="1"/>
      <c r="B49" s="1"/>
      <c r="C49" s="123">
        <v>31</v>
      </c>
      <c r="D49" s="297"/>
      <c r="E49" s="109" t="str">
        <f>+IFERROR(INDEX(Hoja1!$E$2:$E$45,MATCH('Análisis Resultados'!C49,Hoja1!$H$2:$H$45,0)),"")</f>
        <v>Canales de comunicación con los ciudadanos</v>
      </c>
      <c r="F49" s="110" t="str">
        <f>+IFERROR(VLOOKUP(C49,Hoja1!$H$2:$I$45,2,0),"")</f>
        <v>Si</v>
      </c>
      <c r="G49" s="121" t="str">
        <f t="shared" si="0"/>
        <v>Existe requerimiento pero se requiere actividades  dirigidas a su mantenimiento dentro del marco de las lineas de defensa.</v>
      </c>
      <c r="I49" s="129">
        <f t="shared" si="1"/>
        <v>1</v>
      </c>
      <c r="J49" s="287"/>
    </row>
    <row r="50" spans="1:10" ht="57" customHeight="1" x14ac:dyDescent="0.25">
      <c r="A50" s="1"/>
      <c r="B50" s="1"/>
      <c r="C50" s="123">
        <v>32</v>
      </c>
      <c r="D50" s="297"/>
      <c r="E50" s="109" t="str">
        <f>+IFERROR(INDEX(Hoja1!$E$2:$E$45,MATCH('Análisis Resultados'!C50,Hoja1!$H$2:$H$45,0)),"")</f>
        <v>Canales de comunicación o mecanismos de reporte de información a otros organismos gubernamentales o de control</v>
      </c>
      <c r="F50" s="110" t="str">
        <f>+IFERROR(VLOOKUP(C50,Hoja1!$H$2:$I$45,2,0),"")</f>
        <v>Si</v>
      </c>
      <c r="G50" s="121" t="str">
        <f t="shared" si="0"/>
        <v>Existe requerimiento pero se requiere actividades  dirigidas a su mantenimiento dentro del marco de las lineas de defensa.</v>
      </c>
      <c r="I50" s="129">
        <f t="shared" si="1"/>
        <v>1</v>
      </c>
      <c r="J50" s="287"/>
    </row>
    <row r="51" spans="1:10" ht="57" customHeight="1" x14ac:dyDescent="0.25">
      <c r="A51" s="1"/>
      <c r="B51" s="1"/>
      <c r="C51" s="123">
        <v>33</v>
      </c>
      <c r="D51" s="297"/>
      <c r="E51" s="109" t="str">
        <f>+IFERROR(INDEX(Hoja1!$E$2:$E$45,MATCH('Análisis Resultados'!C51,Hoja1!$H$2:$H$45,0)),"")</f>
        <v xml:space="preserve">Lineamientos para dar tratamiento a la información de carácter reservado </v>
      </c>
      <c r="F51" s="110" t="str">
        <f>+IFERROR(VLOOKUP(C51,Hoja1!$H$2:$I$45,2,0),"")</f>
        <v>Si</v>
      </c>
      <c r="G51" s="121" t="str">
        <f t="shared" si="0"/>
        <v>Existe requerimiento pero se requiere actividades  dirigidas a su mantenimiento dentro del marco de las lineas de defensa.</v>
      </c>
      <c r="I51" s="129">
        <f t="shared" si="1"/>
        <v>1</v>
      </c>
      <c r="J51" s="287"/>
    </row>
    <row r="52" spans="1:10" ht="45.75" thickBot="1" x14ac:dyDescent="0.3">
      <c r="A52" s="1"/>
      <c r="B52" s="1"/>
      <c r="C52" s="123">
        <v>34</v>
      </c>
      <c r="D52" s="297"/>
      <c r="E52" s="115" t="str">
        <f>+IFERROR(INDEX(Hoja1!$E$2:$E$45,MATCH('Análisis Resultados'!C52,Hoja1!$H$2:$H$45,0)),"")</f>
        <v>Identificación de información que produce en el marco de su gestión (Para los ciudadanos, organismos de control, organismos gubernamentales, entre otros)</v>
      </c>
      <c r="F52" s="116" t="str">
        <f>+IFERROR(VLOOKUP(C52,Hoja1!$H$2:$I$45,2,0),"")</f>
        <v>Si</v>
      </c>
      <c r="G52" s="122" t="str">
        <f t="shared" si="0"/>
        <v>Existe requerimiento pero se requiere actividades  dirigidas a su mantenimiento dentro del marco de las lineas de defensa.</v>
      </c>
      <c r="I52" s="130">
        <f t="shared" si="1"/>
        <v>1</v>
      </c>
      <c r="J52" s="287"/>
    </row>
    <row r="53" spans="1:10" ht="41.25" customHeight="1" x14ac:dyDescent="0.25">
      <c r="A53" s="1"/>
      <c r="B53" s="1"/>
      <c r="C53" s="123">
        <v>35</v>
      </c>
      <c r="D53" s="291" t="s">
        <v>97</v>
      </c>
      <c r="E53" s="106" t="str">
        <f>+IFERROR(INDEX(Hoja1!$E$2:$E$45,MATCH('Análisis Resultados'!C53,Hoja1!$H$2:$H$45,0)),"")</f>
        <v>Mecanismos de evaluación de la gestión (cronogramas, indicadores, listas de chequeo u otros)</v>
      </c>
      <c r="F53" s="107" t="str">
        <f>+IFERROR(VLOOKUP(C53,Hoja1!$H$2:$I$45,2,0),"")</f>
        <v>Si</v>
      </c>
      <c r="G53" s="108" t="str">
        <f t="shared" si="0"/>
        <v>Existe requerimiento pero se requiere actividades  dirigidas a su mantenimiento dentro del marco de las lineas de defensa.</v>
      </c>
      <c r="I53" s="124">
        <f t="shared" si="1"/>
        <v>1</v>
      </c>
      <c r="J53" s="294">
        <f>+AVERAGE(I53:I62)</f>
        <v>1</v>
      </c>
    </row>
    <row r="54" spans="1:10" ht="58.5" customHeight="1" x14ac:dyDescent="0.25">
      <c r="A54" s="1"/>
      <c r="B54" s="1"/>
      <c r="C54" s="123">
        <v>36</v>
      </c>
      <c r="D54" s="292"/>
      <c r="E54" s="109" t="str">
        <f>+IFERROR(INDEX(Hoja1!$E$2:$E$45,MATCH('Análisis Resultados'!C54,Hoja1!$H$2:$H$45,0)),"")</f>
        <v>Algún mecanismo para monitorear o supervisar el sistema de control interno institucional, ya sea por parte del representante legal, o del área de control interno (si la entidad cuenta con ella), o bien a través del Comité departamental o municipal de Auditoría.</v>
      </c>
      <c r="F54" s="110" t="str">
        <f>+IFERROR(VLOOKUP(C54,Hoja1!$H$2:$I$45,2,0),"")</f>
        <v>Si</v>
      </c>
      <c r="G54" s="111" t="str">
        <f t="shared" si="0"/>
        <v>Existe requerimiento pero se requiere actividades  dirigidas a su mantenimiento dentro del marco de las lineas de defensa.</v>
      </c>
      <c r="I54" s="125">
        <f t="shared" si="1"/>
        <v>1</v>
      </c>
      <c r="J54" s="295"/>
    </row>
    <row r="55" spans="1:10" s="1" customFormat="1" ht="84.75" customHeight="1" x14ac:dyDescent="0.25">
      <c r="C55" s="123">
        <v>37</v>
      </c>
      <c r="D55" s="292"/>
      <c r="E55" s="109" t="str">
        <f>+IFERROR(INDEX(Hoja1!$E$2:$E$45,MATCH('Análisis Resultados'!C55,Hoja1!$H$2:$H$45,0)),"")</f>
        <v>Medidas correctivas en caso de detectarse deficiencias en los ejercicios de evaluación, seguimiento o auditoría</v>
      </c>
      <c r="F55" s="110" t="str">
        <f>+IFERROR(VLOOKUP(C55,Hoja1!$H$2:$I$45,2,0),"")</f>
        <v>Si</v>
      </c>
      <c r="G55" s="111" t="str">
        <f t="shared" si="0"/>
        <v>Existe requerimiento pero se requiere actividades  dirigidas a su mantenimiento dentro del marco de las lineas de defensa.</v>
      </c>
      <c r="I55" s="125">
        <f t="shared" si="1"/>
        <v>1</v>
      </c>
      <c r="J55" s="295"/>
    </row>
    <row r="56" spans="1:10" s="1" customFormat="1" ht="78.75" customHeight="1" x14ac:dyDescent="0.25">
      <c r="C56" s="123">
        <v>38</v>
      </c>
      <c r="D56" s="292"/>
      <c r="E56" s="109" t="str">
        <f>+IFERROR(INDEX(Hoja1!$E$2:$E$45,MATCH('Análisis Resultados'!C56,Hoja1!$H$2:$H$45,0)),"")</f>
        <v>Seguimiento a los planes de mejoramiento suscritos con instancias de control internas o externas</v>
      </c>
      <c r="F56" s="110" t="str">
        <f>+IFERROR(VLOOKUP(C56,Hoja1!$H$2:$I$45,2,0),"")</f>
        <v>Si</v>
      </c>
      <c r="G56" s="111" t="str">
        <f t="shared" si="0"/>
        <v>Existe requerimiento pero se requiere actividades  dirigidas a su mantenimiento dentro del marco de las lineas de defensa.</v>
      </c>
      <c r="I56" s="125">
        <f t="shared" si="1"/>
        <v>1</v>
      </c>
      <c r="J56" s="295"/>
    </row>
    <row r="57" spans="1:10" s="1" customFormat="1" ht="54.75" customHeight="1" x14ac:dyDescent="0.25">
      <c r="C57" s="123">
        <v>39</v>
      </c>
      <c r="D57" s="292"/>
      <c r="E57" s="109" t="str">
        <f>+IFERROR(INDEX(Hoja1!$E$2:$E$45,MATCH('Análisis Resultados'!C57,Hoja1!$H$2:$H$45,0)),"")</f>
        <v>La entidad participa en el  Comité Municipal de Auditoría?</v>
      </c>
      <c r="F57" s="110" t="str">
        <f>+IFERROR(VLOOKUP(C57,Hoja1!$H$2:$I$45,2,0),"")</f>
        <v>Si</v>
      </c>
      <c r="G57" s="111" t="str">
        <f t="shared" si="0"/>
        <v>Existe requerimiento pero se requiere actividades  dirigidas a su mantenimiento dentro del marco de las lineas de defensa.</v>
      </c>
      <c r="I57" s="125">
        <f t="shared" si="1"/>
        <v>1</v>
      </c>
      <c r="J57" s="295"/>
    </row>
    <row r="58" spans="1:10" s="1" customFormat="1" ht="68.25" customHeight="1" x14ac:dyDescent="0.25">
      <c r="C58" s="123">
        <v>40</v>
      </c>
      <c r="D58" s="292"/>
      <c r="E58" s="109" t="str">
        <f>+IFERROR(INDEX(Hoja1!$E$2:$E$45,MATCH('Análisis Resultados'!C58,Hoja1!$H$2:$H$45,0)),"")</f>
        <v>Evitar que los problemas (riesgos) obstaculicen el cumplimiento de los objetivos.</v>
      </c>
      <c r="F58" s="110" t="str">
        <f>+IFERROR(VLOOKUP(C58,Hoja1!$H$2:$I$45,2,0),"")</f>
        <v>Si</v>
      </c>
      <c r="G58" s="111" t="str">
        <f t="shared" si="0"/>
        <v>Existe requerimiento pero se requiere actividades  dirigidas a su mantenimiento dentro del marco de las lineas de defensa.</v>
      </c>
      <c r="I58" s="125">
        <f t="shared" si="1"/>
        <v>1</v>
      </c>
      <c r="J58" s="295"/>
    </row>
    <row r="59" spans="1:10" s="1" customFormat="1" ht="45" customHeight="1" x14ac:dyDescent="0.25">
      <c r="C59" s="123">
        <v>41</v>
      </c>
      <c r="D59" s="292"/>
      <c r="E59" s="109" t="str">
        <f>+IFERROR(INDEX(Hoja1!$E$2:$E$45,MATCH('Análisis Resultados'!C59,Hoja1!$H$2:$H$45,0)),"")</f>
        <v>Controlar los puntos críticos en los procesos.</v>
      </c>
      <c r="F59" s="110" t="str">
        <f>+IFERROR(VLOOKUP(C59,Hoja1!$H$2:$I$45,2,0),"")</f>
        <v>Si</v>
      </c>
      <c r="G59" s="111" t="str">
        <f t="shared" si="0"/>
        <v>Existe requerimiento pero se requiere actividades  dirigidas a su mantenimiento dentro del marco de las lineas de defensa.</v>
      </c>
      <c r="I59" s="125">
        <f t="shared" si="1"/>
        <v>1</v>
      </c>
      <c r="J59" s="295"/>
    </row>
    <row r="60" spans="1:10" s="1" customFormat="1" ht="51.75" customHeight="1" x14ac:dyDescent="0.25">
      <c r="C60" s="123">
        <v>42</v>
      </c>
      <c r="D60" s="292"/>
      <c r="E60" s="109" t="str">
        <f>+IFERROR(INDEX(Hoja1!$E$2:$E$45,MATCH('Análisis Resultados'!C60,Hoja1!$H$2:$H$45,0)),"")</f>
        <v>Diseñar acciones adecuadas para controlar los problemas que afectan el cumplimiento de las metas y objetivos institucionales (riesgos).</v>
      </c>
      <c r="F60" s="110" t="str">
        <f>+IFERROR(VLOOKUP(C60,Hoja1!$H$2:$I$45,2,0),"")</f>
        <v>Si</v>
      </c>
      <c r="G60" s="111" t="str">
        <f t="shared" si="0"/>
        <v>Existe requerimiento pero se requiere actividades  dirigidas a su mantenimiento dentro del marco de las lineas de defensa.</v>
      </c>
      <c r="I60" s="125">
        <f t="shared" si="1"/>
        <v>1</v>
      </c>
      <c r="J60" s="295"/>
    </row>
    <row r="61" spans="1:10" s="1" customFormat="1" ht="84" customHeight="1" x14ac:dyDescent="0.25">
      <c r="C61" s="123">
        <v>43</v>
      </c>
      <c r="D61" s="292"/>
      <c r="E61" s="109" t="str">
        <f>+IFERROR(INDEX(Hoja1!$E$2:$E$45,MATCH('Análisis Resultados'!C61,Hoja1!$H$2:$H$45,0)),"")</f>
        <v>Ejecutar las acciones de acuerdo a como se diseñaron previamente.</v>
      </c>
      <c r="F61" s="110" t="str">
        <f>+IFERROR(VLOOKUP(C61,Hoja1!$H$2:$I$45,2,0),"")</f>
        <v>Si</v>
      </c>
      <c r="G61" s="111" t="str">
        <f t="shared" si="0"/>
        <v>Existe requerimiento pero se requiere actividades  dirigidas a su mantenimiento dentro del marco de las lineas de defensa.</v>
      </c>
      <c r="I61" s="125">
        <f t="shared" si="1"/>
        <v>1</v>
      </c>
      <c r="J61" s="295"/>
    </row>
    <row r="62" spans="1:10" s="1" customFormat="1" ht="60" customHeight="1" thickBot="1" x14ac:dyDescent="0.3">
      <c r="C62" s="123">
        <v>44</v>
      </c>
      <c r="D62" s="293"/>
      <c r="E62" s="112" t="str">
        <f>+IFERROR(INDEX(Hoja1!$E$2:$E$45,MATCH('Análisis Resultados'!C62,Hoja1!$H$2:$H$45,0)),"")</f>
        <v>No se gestionan los problemas que afectan el cumplimiento de las funciones y objetivos institucionales(riesgos).</v>
      </c>
      <c r="F62" s="113" t="str">
        <f>+IFERROR(VLOOKUP(C62,Hoja1!$H$2:$I$45,2,0),"")</f>
        <v>Si</v>
      </c>
      <c r="G62" s="114" t="str">
        <f t="shared" si="0"/>
        <v>Existe requerimiento pero se requiere actividades  dirigidas a su mantenimiento dentro del marco de las lineas de defensa.</v>
      </c>
      <c r="I62" s="126">
        <f t="shared" si="1"/>
        <v>1</v>
      </c>
      <c r="J62" s="296"/>
    </row>
    <row r="63" spans="1:10" s="1" customFormat="1" x14ac:dyDescent="0.25"/>
    <row r="64" spans="1:10" s="1" customFormat="1" x14ac:dyDescent="0.25"/>
    <row r="65" spans="1:2" s="1" customFormat="1" x14ac:dyDescent="0.25"/>
    <row r="66" spans="1:2" s="1" customFormat="1" x14ac:dyDescent="0.25"/>
    <row r="67" spans="1:2" s="1" customFormat="1" x14ac:dyDescent="0.25"/>
    <row r="68" spans="1:2" s="1" customFormat="1" x14ac:dyDescent="0.25"/>
    <row r="69" spans="1:2" s="1" customFormat="1" x14ac:dyDescent="0.25"/>
    <row r="70" spans="1:2" s="1" customFormat="1" x14ac:dyDescent="0.25"/>
    <row r="71" spans="1:2" x14ac:dyDescent="0.25">
      <c r="A71" s="1"/>
      <c r="B71" s="1"/>
    </row>
    <row r="72" spans="1:2" x14ac:dyDescent="0.25">
      <c r="A72" s="1"/>
      <c r="B72" s="1"/>
    </row>
    <row r="73" spans="1:2" x14ac:dyDescent="0.25">
      <c r="A73" s="1"/>
      <c r="B73" s="1"/>
    </row>
    <row r="74" spans="1:2" x14ac:dyDescent="0.25">
      <c r="A74" s="1"/>
      <c r="B74" s="1"/>
    </row>
  </sheetData>
  <sheetProtection algorithmName="SHA-512" hashValue="2c/K7BVeA+JOjsvnu2HILGfEHHcx80UTyQTucJ5c70tus45UaD3gXdqjB7xLC6LydtmfT9VN5B07LstuhHP+UQ==" saltValue="5+Ylqwr6SZ9tvbSyY2m3gQ==" spinCount="100000" sheet="1" objects="1" scenarios="1" formatCells="0"/>
  <mergeCells count="25">
    <mergeCell ref="J31:J40"/>
    <mergeCell ref="C12:D12"/>
    <mergeCell ref="E12:F12"/>
    <mergeCell ref="J19:J30"/>
    <mergeCell ref="D53:D62"/>
    <mergeCell ref="J53:J62"/>
    <mergeCell ref="D46:D52"/>
    <mergeCell ref="J46:J52"/>
    <mergeCell ref="D41:D45"/>
    <mergeCell ref="J41:J45"/>
    <mergeCell ref="D31:D40"/>
    <mergeCell ref="C11:D11"/>
    <mergeCell ref="E11:F11"/>
    <mergeCell ref="J17:J18"/>
    <mergeCell ref="D19:D30"/>
    <mergeCell ref="C17:C18"/>
    <mergeCell ref="D17:E17"/>
    <mergeCell ref="F17:F18"/>
    <mergeCell ref="G17:G18"/>
    <mergeCell ref="I17:I18"/>
    <mergeCell ref="C7:K7"/>
    <mergeCell ref="C9:D9"/>
    <mergeCell ref="E9:F9"/>
    <mergeCell ref="C10:D10"/>
    <mergeCell ref="E10:F10"/>
  </mergeCells>
  <conditionalFormatting sqref="I19:I62">
    <cfRule type="cellIs" dxfId="19" priority="4" operator="between">
      <formula>0.75</formula>
      <formula>1</formula>
    </cfRule>
    <cfRule type="cellIs" dxfId="18" priority="5" operator="between">
      <formula>0.5</formula>
      <formula>0.74</formula>
    </cfRule>
    <cfRule type="cellIs" dxfId="17" priority="6" operator="between">
      <formula>0</formula>
      <formula>0.49</formula>
    </cfRule>
  </conditionalFormatting>
  <conditionalFormatting sqref="J19:J31 J41 J46 J53">
    <cfRule type="cellIs" priority="1" operator="between">
      <formula>0.75</formula>
      <formula>1</formula>
    </cfRule>
    <cfRule type="cellIs" dxfId="16" priority="2" operator="between">
      <formula>0.5</formula>
      <formula>0.75</formula>
    </cfRule>
    <cfRule type="cellIs" dxfId="15" priority="3" operator="between">
      <formula>0</formula>
      <formula>0.49</formula>
    </cfRule>
  </conditionalFormatting>
  <pageMargins left="0.7" right="0.7" top="0.75" bottom="0.75" header="0.3" footer="0.3"/>
  <pageSetup scale="53" fitToHeight="4" orientation="landscape" horizontalDpi="0" verticalDpi="0"/>
  <extLst>
    <ext xmlns:x14="http://schemas.microsoft.com/office/spreadsheetml/2009/9/main" uri="{78C0D931-6437-407d-A8EE-F0AAD7539E65}">
      <x14:conditionalFormattings>
        <x14:conditionalFormatting xmlns:xm="http://schemas.microsoft.com/office/excel/2006/main">
          <x14:cfRule type="containsText" priority="7" operator="containsText" id="{B5EC0094-D2B5-49BB-B6F9-E988382E1263}">
            <xm:f>NOT(ISERROR(SEARCH($E$12,G19)))</xm:f>
            <xm:f>$E$12</xm:f>
            <x14:dxf>
              <fill>
                <patternFill>
                  <bgColor rgb="FFFF0000"/>
                </patternFill>
              </fill>
            </x14:dxf>
          </x14:cfRule>
          <x14:cfRule type="containsText" priority="8" operator="containsText" id="{D802A135-824D-43A0-835B-FE63514274DE}">
            <xm:f>NOT(ISERROR(SEARCH($E$11,G19)))</xm:f>
            <xm:f>$E$11</xm:f>
            <x14:dxf>
              <fill>
                <patternFill>
                  <bgColor rgb="FFFFFF00"/>
                </patternFill>
              </fill>
            </x14:dxf>
          </x14:cfRule>
          <x14:cfRule type="containsText" priority="9" operator="containsText" id="{D7844022-1CB2-4683-9B09-8D3EA8F0FDED}">
            <xm:f>NOT(ISERROR(SEARCH($E$10,G19)))</xm:f>
            <xm:f>$E$10</xm:f>
            <x14:dxf>
              <fill>
                <patternFill>
                  <bgColor rgb="FF00B050"/>
                </patternFill>
              </fill>
            </x14:dxf>
          </x14:cfRule>
          <xm:sqref>G19:G62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41"/>
  <sheetViews>
    <sheetView showGridLines="0" tabSelected="1" topLeftCell="A10" zoomScale="60" zoomScaleNormal="60" workbookViewId="0">
      <selection activeCell="F21" sqref="F21:M21"/>
    </sheetView>
  </sheetViews>
  <sheetFormatPr baseColWidth="10" defaultColWidth="11.42578125" defaultRowHeight="15" x14ac:dyDescent="0.25"/>
  <cols>
    <col min="1" max="1" width="4.42578125" customWidth="1"/>
    <col min="3" max="3" width="35.42578125" style="161" customWidth="1"/>
    <col min="4" max="4" width="13" style="161" customWidth="1"/>
    <col min="5" max="5" width="43.28515625" style="161" customWidth="1"/>
    <col min="6" max="6" width="11.42578125" style="161"/>
    <col min="7" max="7" width="33.85546875" style="161" customWidth="1"/>
    <col min="8" max="8" width="11.42578125" style="161"/>
    <col min="9" max="9" width="92.28515625" style="161" customWidth="1"/>
    <col min="10" max="12" width="11.42578125" style="161"/>
    <col min="13" max="13" width="29" style="161" customWidth="1"/>
  </cols>
  <sheetData>
    <row r="1" spans="1:17" s="1" customFormat="1" x14ac:dyDescent="0.25">
      <c r="C1" s="155"/>
      <c r="D1" s="155"/>
      <c r="E1" s="155"/>
      <c r="F1" s="155"/>
      <c r="G1" s="155"/>
      <c r="H1" s="155"/>
      <c r="I1" s="155"/>
      <c r="J1" s="155"/>
      <c r="K1" s="155"/>
      <c r="L1" s="155"/>
      <c r="M1" s="155"/>
    </row>
    <row r="2" spans="1:17" ht="15.75" thickBot="1" x14ac:dyDescent="0.3">
      <c r="A2" s="1"/>
      <c r="B2" s="1"/>
      <c r="C2" s="155"/>
      <c r="D2" s="155"/>
      <c r="E2" s="155"/>
      <c r="F2" s="155"/>
      <c r="G2" s="155"/>
      <c r="H2" s="155"/>
      <c r="I2" s="155"/>
      <c r="J2" s="155"/>
      <c r="K2" s="155"/>
      <c r="L2" s="155"/>
      <c r="M2" s="155"/>
      <c r="N2" s="1"/>
      <c r="O2" s="1"/>
      <c r="P2" s="1"/>
      <c r="Q2" s="1"/>
    </row>
    <row r="3" spans="1:17" ht="15.75" thickTop="1" x14ac:dyDescent="0.25">
      <c r="A3" s="1"/>
      <c r="B3" s="2"/>
      <c r="C3" s="156"/>
      <c r="D3" s="156"/>
      <c r="E3" s="156"/>
      <c r="F3" s="156"/>
      <c r="G3" s="156"/>
      <c r="H3" s="156"/>
      <c r="I3" s="156"/>
      <c r="J3" s="156"/>
      <c r="K3" s="156"/>
      <c r="L3" s="156"/>
      <c r="M3" s="156"/>
      <c r="N3" s="3"/>
      <c r="O3" s="3"/>
      <c r="P3" s="4"/>
      <c r="Q3" s="1"/>
    </row>
    <row r="4" spans="1:17" ht="16.5" x14ac:dyDescent="0.3">
      <c r="A4" s="1"/>
      <c r="B4" s="5"/>
      <c r="C4" s="155"/>
      <c r="D4" s="155"/>
      <c r="E4" s="317" t="s">
        <v>124</v>
      </c>
      <c r="F4" s="319" t="s">
        <v>192</v>
      </c>
      <c r="G4" s="319"/>
      <c r="H4" s="319"/>
      <c r="I4" s="319"/>
      <c r="J4" s="319"/>
      <c r="K4" s="319"/>
      <c r="L4" s="319"/>
      <c r="M4" s="319"/>
      <c r="N4" s="6"/>
      <c r="O4" s="6"/>
      <c r="P4" s="7"/>
      <c r="Q4" s="1"/>
    </row>
    <row r="5" spans="1:17" ht="45.75" customHeight="1" x14ac:dyDescent="0.3">
      <c r="A5" s="1"/>
      <c r="B5" s="5"/>
      <c r="C5" s="155"/>
      <c r="D5" s="155"/>
      <c r="E5" s="318"/>
      <c r="F5" s="319"/>
      <c r="G5" s="319"/>
      <c r="H5" s="319"/>
      <c r="I5" s="319"/>
      <c r="J5" s="319"/>
      <c r="K5" s="319"/>
      <c r="L5" s="319"/>
      <c r="M5" s="319"/>
      <c r="N5" s="6"/>
      <c r="O5" s="6"/>
      <c r="P5" s="7"/>
      <c r="Q5" s="1"/>
    </row>
    <row r="6" spans="1:17" ht="66.75" customHeight="1" x14ac:dyDescent="0.3">
      <c r="A6" s="1"/>
      <c r="B6" s="5"/>
      <c r="C6" s="155"/>
      <c r="D6" s="155"/>
      <c r="E6" s="83" t="s">
        <v>125</v>
      </c>
      <c r="F6" s="320" t="s">
        <v>238</v>
      </c>
      <c r="G6" s="321"/>
      <c r="H6" s="321"/>
      <c r="I6" s="321"/>
      <c r="J6" s="321"/>
      <c r="K6" s="321"/>
      <c r="L6" s="321"/>
      <c r="M6" s="322"/>
      <c r="N6" s="8"/>
      <c r="O6" s="8"/>
      <c r="P6" s="7"/>
      <c r="Q6" s="1"/>
    </row>
    <row r="7" spans="1:17" ht="17.25" thickBot="1" x14ac:dyDescent="0.3">
      <c r="A7" s="1"/>
      <c r="B7" s="5"/>
      <c r="C7" s="155"/>
      <c r="D7" s="155"/>
      <c r="E7" s="9"/>
      <c r="F7" s="157"/>
      <c r="G7" s="157"/>
      <c r="H7" s="157"/>
      <c r="I7" s="157"/>
      <c r="J7" s="157"/>
      <c r="K7" s="157"/>
      <c r="L7" s="157"/>
      <c r="M7" s="155"/>
      <c r="N7" s="1"/>
      <c r="O7" s="1"/>
      <c r="P7" s="7"/>
      <c r="Q7" s="1"/>
    </row>
    <row r="8" spans="1:17" ht="97.5" customHeight="1" thickBot="1" x14ac:dyDescent="0.3">
      <c r="A8" s="1"/>
      <c r="B8" s="5"/>
      <c r="C8" s="155"/>
      <c r="D8" s="155"/>
      <c r="E8" s="155"/>
      <c r="F8" s="155"/>
      <c r="G8" s="155"/>
      <c r="H8" s="155"/>
      <c r="I8" s="323" t="s">
        <v>126</v>
      </c>
      <c r="J8" s="324"/>
      <c r="K8" s="325"/>
      <c r="L8" s="155"/>
      <c r="M8" s="131">
        <f>+AVERAGE(G26,G28,G30,G32,G34)</f>
        <v>0.9330952380952382</v>
      </c>
      <c r="N8" s="10"/>
      <c r="O8" s="10"/>
      <c r="P8" s="7"/>
      <c r="Q8" s="1"/>
    </row>
    <row r="9" spans="1:17" ht="15.75" x14ac:dyDescent="0.25">
      <c r="A9" s="1"/>
      <c r="B9" s="5"/>
      <c r="C9" s="155"/>
      <c r="D9" s="155"/>
      <c r="E9" s="155"/>
      <c r="F9" s="155"/>
      <c r="G9" s="155"/>
      <c r="H9" s="155"/>
      <c r="I9" s="155"/>
      <c r="J9" s="155"/>
      <c r="K9" s="155"/>
      <c r="L9" s="155"/>
      <c r="M9" s="158"/>
      <c r="N9" s="11"/>
      <c r="O9" s="11"/>
      <c r="P9" s="7"/>
      <c r="Q9" s="1"/>
    </row>
    <row r="10" spans="1:17" x14ac:dyDescent="0.25">
      <c r="A10" s="1"/>
      <c r="B10" s="5"/>
      <c r="C10" s="155"/>
      <c r="D10" s="155"/>
      <c r="E10" s="155"/>
      <c r="F10" s="155"/>
      <c r="G10" s="155"/>
      <c r="H10" s="155"/>
      <c r="I10" s="155"/>
      <c r="J10" s="155"/>
      <c r="K10" s="155"/>
      <c r="L10" s="155"/>
      <c r="M10" s="155"/>
      <c r="N10" s="1"/>
      <c r="O10" s="1"/>
      <c r="P10" s="7"/>
      <c r="Q10" s="1"/>
    </row>
    <row r="11" spans="1:17" x14ac:dyDescent="0.25">
      <c r="A11" s="1"/>
      <c r="B11" s="5"/>
      <c r="C11" s="155"/>
      <c r="D11" s="155"/>
      <c r="E11" s="155"/>
      <c r="F11" s="155"/>
      <c r="G11" s="155"/>
      <c r="H11" s="155"/>
      <c r="I11" s="155"/>
      <c r="J11" s="155"/>
      <c r="K11" s="155"/>
      <c r="L11" s="155"/>
      <c r="M11" s="155"/>
      <c r="N11" s="1"/>
      <c r="O11" s="1"/>
      <c r="P11" s="7"/>
      <c r="Q11" s="1"/>
    </row>
    <row r="12" spans="1:17" x14ac:dyDescent="0.25">
      <c r="A12" s="1"/>
      <c r="B12" s="5"/>
      <c r="C12" s="155"/>
      <c r="D12" s="155"/>
      <c r="E12" s="155"/>
      <c r="F12" s="155"/>
      <c r="G12" s="155"/>
      <c r="H12" s="155"/>
      <c r="I12" s="155"/>
      <c r="J12" s="155"/>
      <c r="K12" s="155"/>
      <c r="L12" s="155"/>
      <c r="M12" s="155"/>
      <c r="N12" s="1"/>
      <c r="O12" s="1"/>
      <c r="P12" s="7"/>
      <c r="Q12" s="1"/>
    </row>
    <row r="13" spans="1:17" x14ac:dyDescent="0.25">
      <c r="A13" s="1"/>
      <c r="B13" s="5"/>
      <c r="C13" s="155"/>
      <c r="D13" s="155"/>
      <c r="E13" s="155"/>
      <c r="F13" s="155"/>
      <c r="G13" s="155"/>
      <c r="H13" s="155"/>
      <c r="I13" s="155"/>
      <c r="J13" s="155"/>
      <c r="K13" s="155"/>
      <c r="L13" s="155"/>
      <c r="M13" s="155"/>
      <c r="N13" s="1"/>
      <c r="O13" s="1"/>
      <c r="P13" s="7"/>
      <c r="Q13" s="1"/>
    </row>
    <row r="14" spans="1:17" x14ac:dyDescent="0.25">
      <c r="A14" s="1"/>
      <c r="B14" s="5"/>
      <c r="C14" s="155"/>
      <c r="D14" s="155"/>
      <c r="E14" s="155"/>
      <c r="F14" s="155"/>
      <c r="G14" s="155"/>
      <c r="H14" s="155"/>
      <c r="I14" s="155"/>
      <c r="J14" s="155"/>
      <c r="K14" s="155"/>
      <c r="L14" s="155"/>
      <c r="M14" s="155"/>
      <c r="N14" s="1"/>
      <c r="O14" s="1"/>
      <c r="P14" s="7"/>
      <c r="Q14" s="1"/>
    </row>
    <row r="15" spans="1:17" x14ac:dyDescent="0.25">
      <c r="A15" s="1"/>
      <c r="B15" s="5"/>
      <c r="C15" s="155"/>
      <c r="D15" s="155"/>
      <c r="E15" s="155"/>
      <c r="F15" s="155"/>
      <c r="G15" s="155"/>
      <c r="H15" s="155"/>
      <c r="I15" s="155"/>
      <c r="J15" s="155"/>
      <c r="K15" s="155"/>
      <c r="L15" s="155"/>
      <c r="M15" s="155"/>
      <c r="N15" s="1"/>
      <c r="O15" s="1"/>
      <c r="P15" s="7"/>
      <c r="Q15" s="1"/>
    </row>
    <row r="16" spans="1:17" x14ac:dyDescent="0.25">
      <c r="A16" s="1"/>
      <c r="B16" s="5"/>
      <c r="C16" s="155"/>
      <c r="D16" s="155"/>
      <c r="E16" s="155"/>
      <c r="F16" s="155"/>
      <c r="G16" s="155"/>
      <c r="H16" s="155"/>
      <c r="I16" s="155"/>
      <c r="J16" s="155"/>
      <c r="K16" s="155"/>
      <c r="L16" s="155"/>
      <c r="M16" s="155"/>
      <c r="N16" s="1"/>
      <c r="O16" s="1"/>
      <c r="P16" s="7"/>
      <c r="Q16" s="1"/>
    </row>
    <row r="17" spans="1:17" x14ac:dyDescent="0.25">
      <c r="A17" s="1"/>
      <c r="B17" s="5"/>
      <c r="C17" s="155"/>
      <c r="D17" s="155"/>
      <c r="E17" s="155"/>
      <c r="F17" s="155"/>
      <c r="G17" s="155"/>
      <c r="H17" s="155"/>
      <c r="I17" s="155"/>
      <c r="J17" s="155"/>
      <c r="K17" s="155"/>
      <c r="L17" s="155"/>
      <c r="M17" s="155"/>
      <c r="N17" s="1"/>
      <c r="O17" s="1"/>
      <c r="P17" s="7"/>
      <c r="Q17" s="1"/>
    </row>
    <row r="18" spans="1:17" ht="23.25" x14ac:dyDescent="0.25">
      <c r="A18" s="1"/>
      <c r="B18" s="5"/>
      <c r="C18" s="326" t="s">
        <v>127</v>
      </c>
      <c r="D18" s="327"/>
      <c r="E18" s="327"/>
      <c r="F18" s="327"/>
      <c r="G18" s="327"/>
      <c r="H18" s="327"/>
      <c r="I18" s="327"/>
      <c r="J18" s="327"/>
      <c r="K18" s="327"/>
      <c r="L18" s="327"/>
      <c r="M18" s="328"/>
      <c r="N18" s="12"/>
      <c r="O18" s="12"/>
      <c r="P18" s="7"/>
      <c r="Q18" s="1"/>
    </row>
    <row r="19" spans="1:17" ht="16.5" thickBot="1" x14ac:dyDescent="0.3">
      <c r="A19" s="1"/>
      <c r="B19" s="5"/>
      <c r="C19" s="13"/>
      <c r="D19" s="13"/>
      <c r="E19" s="13"/>
      <c r="F19" s="13"/>
      <c r="G19" s="13"/>
      <c r="H19" s="13"/>
      <c r="I19" s="13"/>
      <c r="J19" s="13"/>
      <c r="K19" s="13"/>
      <c r="L19" s="13"/>
      <c r="M19" s="13"/>
      <c r="N19" s="14"/>
      <c r="O19" s="14"/>
      <c r="P19" s="7"/>
      <c r="Q19" s="1"/>
    </row>
    <row r="20" spans="1:17" ht="150" customHeight="1" thickBot="1" x14ac:dyDescent="0.3">
      <c r="A20" s="1"/>
      <c r="B20" s="5"/>
      <c r="C20" s="329" t="s">
        <v>128</v>
      </c>
      <c r="D20" s="330"/>
      <c r="E20" s="134" t="s">
        <v>76</v>
      </c>
      <c r="F20" s="331" t="s">
        <v>196</v>
      </c>
      <c r="G20" s="331"/>
      <c r="H20" s="331"/>
      <c r="I20" s="331"/>
      <c r="J20" s="331"/>
      <c r="K20" s="331"/>
      <c r="L20" s="331"/>
      <c r="M20" s="332"/>
      <c r="N20" s="14"/>
      <c r="O20" s="14"/>
      <c r="P20" s="7"/>
      <c r="Q20" s="1"/>
    </row>
    <row r="21" spans="1:17" ht="126.75" customHeight="1" x14ac:dyDescent="0.25">
      <c r="A21" s="1"/>
      <c r="B21" s="5"/>
      <c r="C21" s="313" t="s">
        <v>129</v>
      </c>
      <c r="D21" s="314"/>
      <c r="E21" s="135" t="s">
        <v>39</v>
      </c>
      <c r="F21" s="331" t="s">
        <v>197</v>
      </c>
      <c r="G21" s="331"/>
      <c r="H21" s="331"/>
      <c r="I21" s="331"/>
      <c r="J21" s="331"/>
      <c r="K21" s="331"/>
      <c r="L21" s="331"/>
      <c r="M21" s="332"/>
      <c r="N21" s="14"/>
      <c r="O21" s="14"/>
      <c r="P21" s="7"/>
      <c r="Q21" s="1"/>
    </row>
    <row r="22" spans="1:17" ht="151.5" customHeight="1" thickBot="1" x14ac:dyDescent="0.3">
      <c r="A22" s="1"/>
      <c r="B22" s="5"/>
      <c r="C22" s="315" t="s">
        <v>130</v>
      </c>
      <c r="D22" s="316"/>
      <c r="E22" s="136" t="s">
        <v>36</v>
      </c>
      <c r="F22" s="333" t="s">
        <v>198</v>
      </c>
      <c r="G22" s="333"/>
      <c r="H22" s="333"/>
      <c r="I22" s="333"/>
      <c r="J22" s="333"/>
      <c r="K22" s="333"/>
      <c r="L22" s="333"/>
      <c r="M22" s="334"/>
      <c r="N22" s="14"/>
      <c r="O22" s="14"/>
      <c r="P22" s="7"/>
      <c r="Q22" s="1"/>
    </row>
    <row r="23" spans="1:17" x14ac:dyDescent="0.25">
      <c r="A23" s="1"/>
      <c r="B23" s="5"/>
      <c r="C23" s="155"/>
      <c r="D23" s="155"/>
      <c r="E23" s="155"/>
      <c r="F23" s="155"/>
      <c r="G23" s="159"/>
      <c r="H23" s="155"/>
      <c r="I23" s="155"/>
      <c r="J23" s="155"/>
      <c r="K23" s="155"/>
      <c r="L23" s="155"/>
      <c r="M23" s="155"/>
      <c r="N23" s="1"/>
      <c r="O23" s="1"/>
      <c r="P23" s="7"/>
      <c r="Q23" s="1"/>
    </row>
    <row r="24" spans="1:17" ht="78.75" x14ac:dyDescent="0.25">
      <c r="A24" s="1"/>
      <c r="B24" s="5"/>
      <c r="C24" s="85" t="s">
        <v>131</v>
      </c>
      <c r="D24" s="86"/>
      <c r="E24" s="85" t="s">
        <v>132</v>
      </c>
      <c r="F24" s="86"/>
      <c r="G24" s="85" t="s">
        <v>133</v>
      </c>
      <c r="H24" s="86"/>
      <c r="I24" s="307" t="s">
        <v>134</v>
      </c>
      <c r="J24" s="307"/>
      <c r="K24" s="307"/>
      <c r="L24" s="307"/>
      <c r="M24" s="307"/>
      <c r="N24" s="26"/>
      <c r="O24" s="26"/>
      <c r="P24" s="7"/>
      <c r="Q24" s="15"/>
    </row>
    <row r="25" spans="1:17" ht="13.5" customHeight="1" thickBot="1" x14ac:dyDescent="0.3">
      <c r="A25" s="1"/>
      <c r="B25" s="5"/>
      <c r="C25" s="160"/>
      <c r="I25" s="311"/>
      <c r="J25" s="311"/>
      <c r="K25" s="311"/>
      <c r="L25" s="311"/>
      <c r="M25" s="311"/>
      <c r="N25" s="27"/>
      <c r="O25" s="27"/>
      <c r="P25" s="7"/>
      <c r="Q25" s="1"/>
    </row>
    <row r="26" spans="1:17" ht="155.25" customHeight="1" thickBot="1" x14ac:dyDescent="0.3">
      <c r="A26" s="1"/>
      <c r="B26" s="5"/>
      <c r="C26" s="78" t="s">
        <v>32</v>
      </c>
      <c r="D26" s="16"/>
      <c r="E26" s="132" t="str">
        <f>+IF(Hoja1!K2&gt;=0.5,"Si","No")</f>
        <v>Si</v>
      </c>
      <c r="F26" s="17"/>
      <c r="G26" s="133">
        <f>+Hoja1!K2</f>
        <v>0.95833333333333337</v>
      </c>
      <c r="H26" s="17"/>
      <c r="I26" s="308" t="s">
        <v>199</v>
      </c>
      <c r="J26" s="309"/>
      <c r="K26" s="309"/>
      <c r="L26" s="309"/>
      <c r="M26" s="310"/>
      <c r="N26" s="28"/>
      <c r="O26" s="29"/>
      <c r="P26" s="18"/>
      <c r="Q26" s="19"/>
    </row>
    <row r="27" spans="1:17" ht="27" thickBot="1" x14ac:dyDescent="0.3">
      <c r="A27" s="1"/>
      <c r="B27" s="5"/>
      <c r="C27" s="162"/>
      <c r="E27" s="163"/>
      <c r="G27" s="164"/>
      <c r="I27" s="312"/>
      <c r="J27" s="312"/>
      <c r="K27" s="312"/>
      <c r="L27" s="312"/>
      <c r="M27" s="312"/>
      <c r="N27" s="30"/>
      <c r="O27" s="30"/>
      <c r="P27" s="7"/>
      <c r="Q27" s="1"/>
    </row>
    <row r="28" spans="1:17" ht="111.75" customHeight="1" thickBot="1" x14ac:dyDescent="0.3">
      <c r="A28" s="1"/>
      <c r="B28" s="5"/>
      <c r="C28" s="79" t="s">
        <v>135</v>
      </c>
      <c r="D28" s="16"/>
      <c r="E28" s="132" t="str">
        <f>+IF(Hoja1!K14&gt;=0.5,"Si","No")</f>
        <v>Si</v>
      </c>
      <c r="G28" s="133">
        <f>+Hoja1!K14</f>
        <v>0.85</v>
      </c>
      <c r="I28" s="304" t="s">
        <v>200</v>
      </c>
      <c r="J28" s="305"/>
      <c r="K28" s="305"/>
      <c r="L28" s="305"/>
      <c r="M28" s="306"/>
      <c r="N28" s="28"/>
      <c r="O28" s="28"/>
      <c r="P28" s="7"/>
      <c r="Q28" s="1"/>
    </row>
    <row r="29" spans="1:17" ht="27" thickBot="1" x14ac:dyDescent="0.3">
      <c r="A29" s="1"/>
      <c r="B29" s="5"/>
      <c r="C29" s="162"/>
      <c r="E29" s="163"/>
      <c r="G29" s="164"/>
      <c r="I29" s="312"/>
      <c r="J29" s="312"/>
      <c r="K29" s="312"/>
      <c r="L29" s="312"/>
      <c r="M29" s="312"/>
      <c r="N29" s="30"/>
      <c r="O29" s="30"/>
      <c r="P29" s="7"/>
      <c r="Q29" s="1"/>
    </row>
    <row r="30" spans="1:17" ht="123" customHeight="1" thickBot="1" x14ac:dyDescent="0.3">
      <c r="A30" s="1"/>
      <c r="B30" s="5"/>
      <c r="C30" s="80" t="s">
        <v>136</v>
      </c>
      <c r="D30" s="16"/>
      <c r="E30" s="132" t="str">
        <f>+IF(Hoja1!K24&gt;=0.5,"Si","No")</f>
        <v>Si</v>
      </c>
      <c r="G30" s="133">
        <f>+Hoja1!K24</f>
        <v>1</v>
      </c>
      <c r="I30" s="304" t="s">
        <v>201</v>
      </c>
      <c r="J30" s="305"/>
      <c r="K30" s="305"/>
      <c r="L30" s="305"/>
      <c r="M30" s="306"/>
      <c r="N30" s="28"/>
      <c r="O30" s="28"/>
      <c r="P30" s="7"/>
      <c r="Q30" s="1"/>
    </row>
    <row r="31" spans="1:17" ht="27" thickBot="1" x14ac:dyDescent="0.3">
      <c r="A31" s="1"/>
      <c r="B31" s="5"/>
      <c r="C31" s="162"/>
      <c r="E31" s="163"/>
      <c r="G31" s="164"/>
      <c r="I31" s="312"/>
      <c r="J31" s="312"/>
      <c r="K31" s="312"/>
      <c r="L31" s="312"/>
      <c r="M31" s="312"/>
      <c r="N31" s="30"/>
      <c r="O31" s="30"/>
      <c r="P31" s="7"/>
      <c r="Q31" s="1"/>
    </row>
    <row r="32" spans="1:17" ht="171" customHeight="1" thickBot="1" x14ac:dyDescent="0.3">
      <c r="A32" s="1"/>
      <c r="B32" s="5"/>
      <c r="C32" s="81" t="s">
        <v>87</v>
      </c>
      <c r="D32" s="16"/>
      <c r="E32" s="132" t="str">
        <f>+IF(Hoja1!K29&gt;=0.5,"Si","No")</f>
        <v>Si</v>
      </c>
      <c r="G32" s="133">
        <f>+Hoja1!K29</f>
        <v>0.8571428571428571</v>
      </c>
      <c r="I32" s="304" t="s">
        <v>203</v>
      </c>
      <c r="J32" s="305"/>
      <c r="K32" s="305"/>
      <c r="L32" s="305"/>
      <c r="M32" s="306"/>
      <c r="N32" s="28"/>
      <c r="O32" s="28"/>
      <c r="P32" s="7"/>
      <c r="Q32" s="1"/>
    </row>
    <row r="33" spans="1:17" ht="27" thickBot="1" x14ac:dyDescent="0.3">
      <c r="A33" s="1"/>
      <c r="B33" s="5"/>
      <c r="C33" s="162"/>
      <c r="E33" s="163"/>
      <c r="G33" s="164"/>
      <c r="I33" s="312"/>
      <c r="J33" s="312"/>
      <c r="K33" s="312"/>
      <c r="L33" s="312"/>
      <c r="M33" s="312"/>
      <c r="N33" s="30"/>
      <c r="O33" s="30"/>
      <c r="P33" s="7"/>
      <c r="Q33" s="1"/>
    </row>
    <row r="34" spans="1:17" ht="164.25" customHeight="1" thickBot="1" x14ac:dyDescent="0.3">
      <c r="A34" s="1"/>
      <c r="B34" s="5"/>
      <c r="C34" s="82" t="s">
        <v>137</v>
      </c>
      <c r="D34" s="16"/>
      <c r="E34" s="84" t="str">
        <f>+IF(Hoja1!K36&gt;=0.5,"Si","No")</f>
        <v>Si</v>
      </c>
      <c r="G34" s="133">
        <f>+Hoja1!K36</f>
        <v>1</v>
      </c>
      <c r="I34" s="304" t="s">
        <v>204</v>
      </c>
      <c r="J34" s="305"/>
      <c r="K34" s="305"/>
      <c r="L34" s="305"/>
      <c r="M34" s="306"/>
      <c r="N34" s="28"/>
      <c r="O34" s="28"/>
      <c r="P34" s="7"/>
      <c r="Q34" s="1"/>
    </row>
    <row r="35" spans="1:17" ht="15.75" x14ac:dyDescent="0.25">
      <c r="A35" s="1"/>
      <c r="B35" s="5"/>
      <c r="C35" s="20"/>
      <c r="D35" s="20"/>
      <c r="E35" s="14"/>
      <c r="F35" s="155"/>
      <c r="G35" s="155"/>
      <c r="H35" s="155"/>
      <c r="I35" s="155"/>
      <c r="J35" s="155"/>
      <c r="K35" s="155"/>
      <c r="L35" s="155"/>
      <c r="M35" s="21"/>
      <c r="N35" s="21"/>
      <c r="O35" s="21"/>
      <c r="P35" s="7"/>
      <c r="Q35" s="1"/>
    </row>
    <row r="36" spans="1:17" ht="15.75" x14ac:dyDescent="0.25">
      <c r="A36" s="1"/>
      <c r="B36" s="5"/>
      <c r="C36" s="22"/>
      <c r="D36" s="20"/>
      <c r="E36" s="14"/>
      <c r="F36" s="155"/>
      <c r="G36" s="155"/>
      <c r="H36" s="155"/>
      <c r="I36" s="155"/>
      <c r="J36" s="155"/>
      <c r="K36" s="155"/>
      <c r="L36" s="155"/>
      <c r="M36" s="21"/>
      <c r="N36" s="21"/>
      <c r="O36" s="21"/>
      <c r="P36" s="7"/>
      <c r="Q36" s="1"/>
    </row>
    <row r="37" spans="1:17" x14ac:dyDescent="0.25">
      <c r="A37" s="1"/>
      <c r="B37" s="5"/>
      <c r="C37" s="165"/>
      <c r="D37" s="155"/>
      <c r="E37" s="155"/>
      <c r="F37" s="155"/>
      <c r="G37" s="155"/>
      <c r="H37" s="155"/>
      <c r="I37" s="155"/>
      <c r="J37" s="155"/>
      <c r="K37" s="155"/>
      <c r="L37" s="155"/>
      <c r="M37" s="155"/>
      <c r="N37" s="1"/>
      <c r="O37" s="1"/>
      <c r="P37" s="7"/>
      <c r="Q37" s="1"/>
    </row>
    <row r="38" spans="1:17" ht="15.75" thickBot="1" x14ac:dyDescent="0.3">
      <c r="A38" s="1"/>
      <c r="B38" s="23"/>
      <c r="C38" s="166"/>
      <c r="D38" s="166"/>
      <c r="E38" s="166"/>
      <c r="F38" s="166"/>
      <c r="G38" s="166"/>
      <c r="H38" s="166"/>
      <c r="I38" s="166"/>
      <c r="J38" s="166"/>
      <c r="K38" s="166"/>
      <c r="L38" s="166"/>
      <c r="M38" s="166"/>
      <c r="N38" s="24"/>
      <c r="O38" s="24"/>
      <c r="P38" s="25"/>
      <c r="Q38" s="1"/>
    </row>
    <row r="39" spans="1:17" ht="15.75" thickTop="1" x14ac:dyDescent="0.25">
      <c r="A39" s="1"/>
      <c r="B39" s="1"/>
      <c r="C39" s="155"/>
      <c r="D39" s="155"/>
      <c r="E39" s="155"/>
      <c r="F39" s="155"/>
      <c r="G39" s="155"/>
      <c r="H39" s="155"/>
      <c r="I39" s="155"/>
      <c r="J39" s="155"/>
      <c r="K39" s="155"/>
      <c r="L39" s="155"/>
      <c r="M39" s="155"/>
      <c r="N39" s="1"/>
      <c r="O39" s="1"/>
      <c r="P39" s="1"/>
      <c r="Q39" s="1"/>
    </row>
    <row r="40" spans="1:17" x14ac:dyDescent="0.25">
      <c r="A40" s="1"/>
      <c r="B40" s="1"/>
      <c r="C40" s="155"/>
      <c r="D40" s="155"/>
      <c r="E40" s="155"/>
      <c r="F40" s="155"/>
      <c r="G40" s="155"/>
      <c r="H40" s="155"/>
      <c r="I40" s="155"/>
      <c r="J40" s="155"/>
      <c r="K40" s="155"/>
      <c r="L40" s="155"/>
      <c r="M40" s="155"/>
      <c r="N40" s="1"/>
      <c r="O40" s="1"/>
      <c r="P40" s="1"/>
      <c r="Q40" s="1"/>
    </row>
    <row r="41" spans="1:17" x14ac:dyDescent="0.25">
      <c r="A41" s="1"/>
      <c r="B41" s="1"/>
      <c r="C41" s="155"/>
      <c r="D41" s="155"/>
      <c r="E41" s="155"/>
      <c r="F41" s="155"/>
      <c r="G41" s="155"/>
      <c r="H41" s="155"/>
      <c r="I41" s="155"/>
      <c r="J41" s="155"/>
      <c r="K41" s="155"/>
      <c r="L41" s="155"/>
      <c r="M41" s="155"/>
      <c r="N41" s="1"/>
      <c r="O41" s="1"/>
      <c r="P41" s="1"/>
      <c r="Q41" s="1"/>
    </row>
  </sheetData>
  <sheetProtection algorithmName="SHA-512" hashValue="mur5Q3PEaZxn8LXLz/eSymodHMyMcb7gr8gXWBwpSU/m7uV0ZPVWkcKOdJlg0OS/SXBXX9P/iBb2vTO1mWy68A==" saltValue="abZlHLcGIMQMz4F8z7vkTw==" spinCount="100000" sheet="1" objects="1" scenarios="1" formatCells="0" formatRows="0"/>
  <mergeCells count="22">
    <mergeCell ref="C21:D21"/>
    <mergeCell ref="C22:D22"/>
    <mergeCell ref="E4:E5"/>
    <mergeCell ref="F4:M5"/>
    <mergeCell ref="F6:M6"/>
    <mergeCell ref="I8:K8"/>
    <mergeCell ref="C18:M18"/>
    <mergeCell ref="C20:D20"/>
    <mergeCell ref="F20:M20"/>
    <mergeCell ref="F21:M21"/>
    <mergeCell ref="F22:M22"/>
    <mergeCell ref="I34:M34"/>
    <mergeCell ref="I30:M30"/>
    <mergeCell ref="I32:M32"/>
    <mergeCell ref="I24:M24"/>
    <mergeCell ref="I26:M26"/>
    <mergeCell ref="I28:M28"/>
    <mergeCell ref="I25:M25"/>
    <mergeCell ref="I27:M27"/>
    <mergeCell ref="I29:M29"/>
    <mergeCell ref="I31:M31"/>
    <mergeCell ref="I33:M33"/>
  </mergeCells>
  <conditionalFormatting sqref="G26 G28 G30 G32 G34">
    <cfRule type="cellIs" dxfId="11" priority="33" operator="between">
      <formula>0.26</formula>
      <formula>0.5</formula>
    </cfRule>
    <cfRule type="cellIs" dxfId="10" priority="32" operator="between">
      <formula>0.51</formula>
      <formula>0.75</formula>
    </cfRule>
    <cfRule type="cellIs" priority="4" operator="between">
      <formula>0.75</formula>
      <formula>1</formula>
    </cfRule>
    <cfRule type="cellIs" dxfId="9" priority="5" operator="between">
      <formula>0.5</formula>
      <formula>0.75</formula>
    </cfRule>
    <cfRule type="cellIs" dxfId="8" priority="6" operator="between">
      <formula>0</formula>
      <formula>0.49</formula>
    </cfRule>
    <cfRule type="cellIs" dxfId="7" priority="31" operator="between">
      <formula>0.76</formula>
      <formula>1</formula>
    </cfRule>
  </conditionalFormatting>
  <conditionalFormatting sqref="M8">
    <cfRule type="cellIs" dxfId="6" priority="1" operator="between">
      <formula>0.75</formula>
      <formula>1</formula>
    </cfRule>
    <cfRule type="cellIs" dxfId="5" priority="29" operator="between">
      <formula>0.26</formula>
      <formula>0.5</formula>
    </cfRule>
    <cfRule type="cellIs" dxfId="4" priority="30" operator="between">
      <formula>0</formula>
      <formula>0.25</formula>
    </cfRule>
    <cfRule type="cellIs" priority="27" operator="between">
      <formula>0.76</formula>
      <formula>1</formula>
    </cfRule>
    <cfRule type="cellIs" dxfId="3" priority="3" operator="between">
      <formula>0</formula>
      <formula>0.49</formula>
    </cfRule>
    <cfRule type="cellIs" dxfId="2" priority="2" operator="between">
      <formula>0.5</formula>
      <formula>0.75</formula>
    </cfRule>
    <cfRule type="cellIs" dxfId="1" priority="28" operator="between">
      <formula>0.51</formula>
      <formula>0.75</formula>
    </cfRule>
  </conditionalFormatting>
  <dataValidations count="3">
    <dataValidation type="list" allowBlank="1" showInputMessage="1" showErrorMessage="1" sqref="E21:E22" xr:uid="{00000000-0002-0000-0300-000000000000}">
      <formula1>"Si, No"</formula1>
    </dataValidation>
    <dataValidation allowBlank="1" showInputMessage="1" showErrorMessage="1" prompt="Celda formulada, información proveniente de la pestaña de deficiencias." sqref="E24" xr:uid="{00000000-0002-0000-0300-000001000000}"/>
    <dataValidation type="list" allowBlank="1" showInputMessage="1" showErrorMessage="1" sqref="E20" xr:uid="{00000000-0002-0000-0300-000002000000}">
      <formula1>"Si,En proceso,No"</formula1>
    </dataValidation>
  </dataValidations>
  <pageMargins left="0.7" right="0.7" top="0.75" bottom="0.75" header="0.3" footer="0.3"/>
  <pageSetup orientation="portrait" horizontalDpi="300" verticalDpi="300" r:id="rId1"/>
  <drawing r:id="rId2"/>
  <extLst>
    <ext xmlns:x14="http://schemas.microsoft.com/office/spreadsheetml/2009/9/main" uri="{78C0D931-6437-407d-A8EE-F0AAD7539E65}">
      <x14:conditionalFormattings>
        <x14:conditionalFormatting xmlns:xm="http://schemas.microsoft.com/office/excel/2006/main">
          <x14:cfRule type="cellIs" priority="34" operator="between" id="{7ADAD4B9-72C7-4518-BD8A-A7D8DD349CD9}">
            <xm:f>0</xm:f>
            <xm:f>'\Users\dianapaolaospinabarrera\Library\Containers\com.microsoft.Excel\Data\Documents\C:\Users\dell\Desktop\cesar\HISTORICOS\[2020-04-22_Formato_informe_sci_parametrizado_final.xlsx]Analisis de Resultados'!#REF!</xm:f>
            <x14:dxf>
              <fill>
                <patternFill>
                  <bgColor rgb="FFFF0000"/>
                </patternFill>
              </fill>
            </x14:dxf>
          </x14:cfRule>
          <xm:sqref>G26 G28 G30 G32 G34</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45"/>
  <sheetViews>
    <sheetView workbookViewId="0">
      <selection activeCell="F2" sqref="F2"/>
    </sheetView>
  </sheetViews>
  <sheetFormatPr baseColWidth="10" defaultColWidth="11.42578125" defaultRowHeight="15" x14ac:dyDescent="0.25"/>
  <cols>
    <col min="2" max="2" width="31" bestFit="1" customWidth="1"/>
    <col min="3" max="3" width="17.140625" customWidth="1"/>
    <col min="5" max="5" width="15.140625" customWidth="1"/>
    <col min="10" max="10" width="15.7109375" customWidth="1"/>
    <col min="11" max="11" width="12" bestFit="1" customWidth="1"/>
  </cols>
  <sheetData>
    <row r="1" spans="1:11" ht="84.75" customHeight="1" x14ac:dyDescent="0.25">
      <c r="A1" s="137" t="s">
        <v>25</v>
      </c>
      <c r="B1" s="137" t="s">
        <v>6</v>
      </c>
      <c r="C1" s="138" t="s">
        <v>8</v>
      </c>
      <c r="D1" s="139" t="s">
        <v>26</v>
      </c>
      <c r="E1" s="139" t="s">
        <v>27</v>
      </c>
      <c r="F1" s="139" t="s">
        <v>138</v>
      </c>
      <c r="G1" s="140" t="s">
        <v>139</v>
      </c>
      <c r="H1" s="140" t="s">
        <v>140</v>
      </c>
      <c r="I1" s="140" t="s">
        <v>119</v>
      </c>
      <c r="J1" s="140" t="s">
        <v>141</v>
      </c>
      <c r="K1" s="140" t="s">
        <v>142</v>
      </c>
    </row>
    <row r="2" spans="1:11" x14ac:dyDescent="0.25">
      <c r="A2" s="141" t="s">
        <v>143</v>
      </c>
      <c r="B2" s="141" t="str">
        <f>+VLOOKUP(A2,'Estado SCI'!$A$16:$C$59,3,0)</f>
        <v>AMBIENTE DE CONTROL</v>
      </c>
      <c r="C2" s="141" t="s">
        <v>33</v>
      </c>
      <c r="D2" s="141" t="s">
        <v>34</v>
      </c>
      <c r="E2" s="141" t="s">
        <v>35</v>
      </c>
      <c r="F2" s="141" t="str">
        <f>+VLOOKUP(A2,'Estado SCI'!$A$16:$I$59,9,0)</f>
        <v>Mantenimiento del control</v>
      </c>
      <c r="G2" s="141">
        <f>+VLOOKUP(A2,'Estado SCI'!$A$16:$L$59,12,0)</f>
        <v>20.123000000000001</v>
      </c>
      <c r="H2" s="141">
        <f t="shared" ref="H2:H45" si="0">+_xlfn.RANK.EQ(G2,$G$2:$G$45,1)</f>
        <v>2</v>
      </c>
      <c r="I2" s="141" t="str">
        <f>+IF(VLOOKUP(A2,'Estado SCI'!$A$16:$G$59,7,0)="","",VLOOKUP(A2,'Estado SCI'!$A$16:$G$59,7,0))</f>
        <v>Si</v>
      </c>
      <c r="J2" s="142">
        <f>+IF(I2="Si",1,IF(I2="En proceso",0.5,0))</f>
        <v>1</v>
      </c>
      <c r="K2" s="143">
        <f t="shared" ref="K2:K45" si="1">+AVERAGEIF($B$2:$B$45,B2,$J$2:$J$45)</f>
        <v>0.95833333333333337</v>
      </c>
    </row>
    <row r="3" spans="1:11" x14ac:dyDescent="0.25">
      <c r="A3" s="141" t="s">
        <v>144</v>
      </c>
      <c r="B3" s="141" t="s">
        <v>32</v>
      </c>
      <c r="C3" s="141" t="s">
        <v>33</v>
      </c>
      <c r="D3" s="141" t="s">
        <v>37</v>
      </c>
      <c r="E3" s="141" t="s">
        <v>38</v>
      </c>
      <c r="F3" s="141" t="str">
        <f>+VLOOKUP(A3,'Estado SCI'!$A$16:$I$59,9,0)</f>
        <v>Oportunidad de mejora</v>
      </c>
      <c r="G3" s="141">
        <f>+VLOOKUP(A3,'Estado SCI'!$A$16:$L$59,12,0)</f>
        <v>10.1234</v>
      </c>
      <c r="H3" s="141">
        <f t="shared" si="0"/>
        <v>1</v>
      </c>
      <c r="I3" s="141" t="str">
        <f>+IF(VLOOKUP(A3,'Estado SCI'!$A$16:$G$59,7,0)="","",VLOOKUP(A3,'Estado SCI'!$A$16:$G$59,7,0))</f>
        <v>En proceso</v>
      </c>
      <c r="J3" s="142">
        <f t="shared" ref="J3:J45" si="2">+IF(I3="Si",1,IF(I3="En proceso",0.5,0))</f>
        <v>0.5</v>
      </c>
      <c r="K3" s="143">
        <f t="shared" si="1"/>
        <v>0.95833333333333337</v>
      </c>
    </row>
    <row r="4" spans="1:11" x14ac:dyDescent="0.25">
      <c r="A4" s="141" t="s">
        <v>145</v>
      </c>
      <c r="B4" s="141" t="s">
        <v>32</v>
      </c>
      <c r="C4" s="141" t="s">
        <v>33</v>
      </c>
      <c r="D4" s="141" t="s">
        <v>40</v>
      </c>
      <c r="E4" s="141" t="s">
        <v>41</v>
      </c>
      <c r="F4" s="141" t="str">
        <f>+VLOOKUP(A4,'Estado SCI'!$A$16:$I$59,9,0)</f>
        <v>Mantenimiento del control</v>
      </c>
      <c r="G4" s="141">
        <f>+VLOOKUP(A4,'Estado SCI'!$A$16:$L$59,12,0)</f>
        <v>20.123449999999998</v>
      </c>
      <c r="H4" s="141">
        <f t="shared" si="0"/>
        <v>3</v>
      </c>
      <c r="I4" s="141" t="str">
        <f>+IF(VLOOKUP(A4,'Estado SCI'!$A$16:$G$59,7,0)="","",VLOOKUP(A4,'Estado SCI'!$A$16:$G$59,7,0))</f>
        <v>Si</v>
      </c>
      <c r="J4" s="142">
        <f t="shared" si="2"/>
        <v>1</v>
      </c>
      <c r="K4" s="143">
        <f t="shared" si="1"/>
        <v>0.95833333333333337</v>
      </c>
    </row>
    <row r="5" spans="1:11" x14ac:dyDescent="0.25">
      <c r="A5" s="141" t="s">
        <v>146</v>
      </c>
      <c r="B5" s="141" t="s">
        <v>32</v>
      </c>
      <c r="C5" s="141" t="s">
        <v>33</v>
      </c>
      <c r="D5" s="141" t="s">
        <v>42</v>
      </c>
      <c r="E5" s="141" t="s">
        <v>43</v>
      </c>
      <c r="F5" s="141" t="str">
        <f>+VLOOKUP(A5,'Estado SCI'!$A$16:$I$59,9,0)</f>
        <v>Mantenimiento del control</v>
      </c>
      <c r="G5" s="141">
        <f>+VLOOKUP(A5,'Estado SCI'!$A$16:$L$59,12,0)</f>
        <v>20.123456000000001</v>
      </c>
      <c r="H5" s="141">
        <f t="shared" si="0"/>
        <v>4</v>
      </c>
      <c r="I5" s="141" t="str">
        <f>+IF(VLOOKUP(A5,'Estado SCI'!$A$16:$G$59,7,0)="","",VLOOKUP(A5,'Estado SCI'!$A$16:$G$59,7,0))</f>
        <v>Si</v>
      </c>
      <c r="J5" s="142">
        <f t="shared" si="2"/>
        <v>1</v>
      </c>
      <c r="K5" s="143">
        <f t="shared" si="1"/>
        <v>0.95833333333333337</v>
      </c>
    </row>
    <row r="6" spans="1:11" x14ac:dyDescent="0.25">
      <c r="A6" s="141" t="s">
        <v>147</v>
      </c>
      <c r="B6" s="141" t="s">
        <v>32</v>
      </c>
      <c r="C6" s="141" t="s">
        <v>33</v>
      </c>
      <c r="D6" s="141" t="s">
        <v>44</v>
      </c>
      <c r="E6" s="141" t="s">
        <v>45</v>
      </c>
      <c r="F6" s="141" t="str">
        <f>+VLOOKUP(A6,'Estado SCI'!$A$16:$I$59,9,0)</f>
        <v>Mantenimiento del control</v>
      </c>
      <c r="G6" s="141">
        <f>+VLOOKUP(A6,'Estado SCI'!$A$16:$L$59,12,0)</f>
        <v>20.123456780000001</v>
      </c>
      <c r="H6" s="141">
        <f t="shared" si="0"/>
        <v>5</v>
      </c>
      <c r="I6" s="141" t="str">
        <f>+IF(VLOOKUP(A6,'Estado SCI'!$A$16:$G$59,7,0)="","",VLOOKUP(A6,'Estado SCI'!$A$16:$G$59,7,0))</f>
        <v>Si</v>
      </c>
      <c r="J6" s="142">
        <f t="shared" si="2"/>
        <v>1</v>
      </c>
      <c r="K6" s="143">
        <f t="shared" si="1"/>
        <v>0.95833333333333337</v>
      </c>
    </row>
    <row r="7" spans="1:11" x14ac:dyDescent="0.25">
      <c r="A7" s="141" t="s">
        <v>148</v>
      </c>
      <c r="B7" s="141" t="s">
        <v>32</v>
      </c>
      <c r="C7" s="141" t="s">
        <v>33</v>
      </c>
      <c r="D7" s="141" t="s">
        <v>46</v>
      </c>
      <c r="E7" s="141" t="s">
        <v>47</v>
      </c>
      <c r="F7" s="141" t="str">
        <f>+VLOOKUP(A7,'Estado SCI'!$A$16:$I$59,9,0)</f>
        <v>Mantenimiento del control</v>
      </c>
      <c r="G7" s="141">
        <f>+VLOOKUP(A7,'Estado SCI'!$A$16:$L$59,12,0)</f>
        <v>20.123456788999999</v>
      </c>
      <c r="H7" s="141">
        <f t="shared" si="0"/>
        <v>6</v>
      </c>
      <c r="I7" s="141" t="str">
        <f>+IF(VLOOKUP(A7,'Estado SCI'!$A$16:$G$59,7,0)="","",VLOOKUP(A7,'Estado SCI'!$A$16:$G$59,7,0))</f>
        <v>Si</v>
      </c>
      <c r="J7" s="142">
        <f t="shared" si="2"/>
        <v>1</v>
      </c>
      <c r="K7" s="143">
        <f t="shared" si="1"/>
        <v>0.95833333333333337</v>
      </c>
    </row>
    <row r="8" spans="1:11" x14ac:dyDescent="0.25">
      <c r="A8" s="141" t="s">
        <v>149</v>
      </c>
      <c r="B8" s="141" t="s">
        <v>32</v>
      </c>
      <c r="C8" s="141" t="s">
        <v>33</v>
      </c>
      <c r="D8" s="141" t="s">
        <v>48</v>
      </c>
      <c r="E8" s="141" t="s">
        <v>49</v>
      </c>
      <c r="F8" s="141" t="str">
        <f>+VLOOKUP(A8,'Estado SCI'!$A$16:$I$59,9,0)</f>
        <v>Mantenimiento del control</v>
      </c>
      <c r="G8" s="141">
        <f>+VLOOKUP(A8,'Estado SCI'!$A$16:$L$59,12,0)</f>
        <v>20.1234567891</v>
      </c>
      <c r="H8" s="141">
        <f t="shared" si="0"/>
        <v>7</v>
      </c>
      <c r="I8" s="141" t="str">
        <f>+IF(VLOOKUP(A8,'Estado SCI'!$A$16:$G$59,7,0)="","",VLOOKUP(A8,'Estado SCI'!$A$16:$G$59,7,0))</f>
        <v>Si</v>
      </c>
      <c r="J8" s="142">
        <f t="shared" si="2"/>
        <v>1</v>
      </c>
      <c r="K8" s="143">
        <f t="shared" si="1"/>
        <v>0.95833333333333337</v>
      </c>
    </row>
    <row r="9" spans="1:11" x14ac:dyDescent="0.25">
      <c r="A9" s="141" t="s">
        <v>150</v>
      </c>
      <c r="B9" s="141" t="s">
        <v>32</v>
      </c>
      <c r="C9" s="141" t="s">
        <v>33</v>
      </c>
      <c r="D9" s="141" t="s">
        <v>50</v>
      </c>
      <c r="E9" s="141" t="s">
        <v>51</v>
      </c>
      <c r="F9" s="141" t="str">
        <f>+VLOOKUP(A9,'Estado SCI'!$A$16:$I$59,9,0)</f>
        <v>Mantenimiento del control</v>
      </c>
      <c r="G9" s="141">
        <f>+VLOOKUP(A9,'Estado SCI'!$A$16:$L$59,12,0)</f>
        <v>20.123456789119999</v>
      </c>
      <c r="H9" s="141">
        <f t="shared" si="0"/>
        <v>8</v>
      </c>
      <c r="I9" s="141" t="str">
        <f>+IF(VLOOKUP(A9,'Estado SCI'!$A$16:$G$59,7,0)="","",VLOOKUP(A9,'Estado SCI'!$A$16:$G$59,7,0))</f>
        <v>Si</v>
      </c>
      <c r="J9" s="142">
        <f t="shared" si="2"/>
        <v>1</v>
      </c>
      <c r="K9" s="143">
        <f t="shared" si="1"/>
        <v>0.95833333333333337</v>
      </c>
    </row>
    <row r="10" spans="1:11" x14ac:dyDescent="0.25">
      <c r="A10" s="141" t="s">
        <v>151</v>
      </c>
      <c r="B10" s="141" t="s">
        <v>32</v>
      </c>
      <c r="C10" s="141" t="s">
        <v>33</v>
      </c>
      <c r="D10" s="141" t="s">
        <v>52</v>
      </c>
      <c r="E10" s="141" t="s">
        <v>53</v>
      </c>
      <c r="F10" s="141" t="str">
        <f>+VLOOKUP(A10,'Estado SCI'!$A$16:$I$59,9,0)</f>
        <v>Mantenimiento del control</v>
      </c>
      <c r="G10" s="141">
        <f>+VLOOKUP(A10,'Estado SCI'!$A$16:$L$59,12,0)</f>
        <v>20.123456789123001</v>
      </c>
      <c r="H10" s="141">
        <f t="shared" si="0"/>
        <v>9</v>
      </c>
      <c r="I10" s="141" t="str">
        <f>+IF(VLOOKUP(A10,'Estado SCI'!$A$16:$G$59,7,0)="","",VLOOKUP(A10,'Estado SCI'!$A$16:$G$59,7,0))</f>
        <v>Si</v>
      </c>
      <c r="J10" s="142">
        <f t="shared" si="2"/>
        <v>1</v>
      </c>
      <c r="K10" s="143">
        <f t="shared" si="1"/>
        <v>0.95833333333333337</v>
      </c>
    </row>
    <row r="11" spans="1:11" x14ac:dyDescent="0.25">
      <c r="A11" s="141" t="s">
        <v>152</v>
      </c>
      <c r="B11" s="141" t="s">
        <v>32</v>
      </c>
      <c r="C11" s="141" t="s">
        <v>33</v>
      </c>
      <c r="D11" s="141" t="s">
        <v>54</v>
      </c>
      <c r="E11" s="141" t="s">
        <v>55</v>
      </c>
      <c r="F11" s="141" t="str">
        <f>+VLOOKUP(A11,'Estado SCI'!$A$16:$I$59,9,0)</f>
        <v>Mantenimiento del control</v>
      </c>
      <c r="G11" s="141">
        <f>+VLOOKUP(A11,'Estado SCI'!$A$16:$L$59,12,0)</f>
        <v>20.123456789123399</v>
      </c>
      <c r="H11" s="141">
        <f t="shared" si="0"/>
        <v>10</v>
      </c>
      <c r="I11" s="141" t="str">
        <f>+IF(VLOOKUP(A11,'Estado SCI'!$A$16:$G$59,7,0)="","",VLOOKUP(A11,'Estado SCI'!$A$16:$G$59,7,0))</f>
        <v>Si</v>
      </c>
      <c r="J11" s="142">
        <f t="shared" si="2"/>
        <v>1</v>
      </c>
      <c r="K11" s="143">
        <f t="shared" si="1"/>
        <v>0.95833333333333337</v>
      </c>
    </row>
    <row r="12" spans="1:11" x14ac:dyDescent="0.25">
      <c r="A12" s="141" t="s">
        <v>153</v>
      </c>
      <c r="B12" s="141" t="s">
        <v>32</v>
      </c>
      <c r="C12" s="141" t="s">
        <v>33</v>
      </c>
      <c r="D12" s="141" t="s">
        <v>56</v>
      </c>
      <c r="E12" s="141" t="s">
        <v>57</v>
      </c>
      <c r="F12" s="141" t="str">
        <f>+VLOOKUP(A12,'Estado SCI'!$A$16:$I$59,9,0)</f>
        <v>Mantenimiento del control</v>
      </c>
      <c r="G12" s="141">
        <f>+VLOOKUP(A12,'Estado SCI'!$A$16:$L$59,12,0)</f>
        <v>20.123456789123448</v>
      </c>
      <c r="H12" s="141">
        <f t="shared" si="0"/>
        <v>11</v>
      </c>
      <c r="I12" s="141" t="str">
        <f>+IF(VLOOKUP(A12,'Estado SCI'!$A$16:$G$59,7,0)="","",VLOOKUP(A12,'Estado SCI'!$A$16:$G$59,7,0))</f>
        <v>Si</v>
      </c>
      <c r="J12" s="142">
        <f t="shared" si="2"/>
        <v>1</v>
      </c>
      <c r="K12" s="143">
        <f t="shared" si="1"/>
        <v>0.95833333333333337</v>
      </c>
    </row>
    <row r="13" spans="1:11" x14ac:dyDescent="0.25">
      <c r="A13" s="141" t="s">
        <v>154</v>
      </c>
      <c r="B13" s="141" t="s">
        <v>32</v>
      </c>
      <c r="C13" s="141" t="s">
        <v>33</v>
      </c>
      <c r="D13" s="141" t="s">
        <v>58</v>
      </c>
      <c r="E13" s="141" t="s">
        <v>59</v>
      </c>
      <c r="F13" s="141" t="str">
        <f>+VLOOKUP(A13,'Estado SCI'!$A$16:$I$59,9,0)</f>
        <v>Mantenimiento del control</v>
      </c>
      <c r="G13" s="141">
        <f>+VLOOKUP(A13,'Estado SCI'!$A$16:$L$59,12,0)</f>
        <v>20.123456789123455</v>
      </c>
      <c r="H13" s="141">
        <f t="shared" si="0"/>
        <v>12</v>
      </c>
      <c r="I13" s="141" t="str">
        <f>+IF(VLOOKUP(A13,'Estado SCI'!$A$16:$G$59,7,0)="","",VLOOKUP(A13,'Estado SCI'!$A$16:$G$59,7,0))</f>
        <v>Si</v>
      </c>
      <c r="J13" s="142">
        <f t="shared" si="2"/>
        <v>1</v>
      </c>
      <c r="K13" s="143">
        <f t="shared" si="1"/>
        <v>0.95833333333333337</v>
      </c>
    </row>
    <row r="14" spans="1:11" ht="15" customHeight="1" x14ac:dyDescent="0.25">
      <c r="A14" s="141" t="s">
        <v>155</v>
      </c>
      <c r="B14" s="141" t="str">
        <f>+VLOOKUP(A14,'Estado SCI'!$A$16:$C$59,3,0)</f>
        <v>EVALUACION DEL RIESGO</v>
      </c>
      <c r="C14" s="141" t="s">
        <v>62</v>
      </c>
      <c r="D14" s="141" t="s">
        <v>34</v>
      </c>
      <c r="E14" s="141" t="s">
        <v>156</v>
      </c>
      <c r="F14" s="141" t="str">
        <f>+VLOOKUP(A14,'Estado SCI'!$A$16:$I$59,9,0)</f>
        <v>Mantenimiento del control</v>
      </c>
      <c r="G14" s="141">
        <f>+VLOOKUP(A14,'Estado SCI'!$A$16:$L$59,12,0)</f>
        <v>40.229999999999997</v>
      </c>
      <c r="H14" s="141">
        <f t="shared" si="0"/>
        <v>16</v>
      </c>
      <c r="I14" s="141" t="str">
        <f>+IF(VLOOKUP(A14,'Estado SCI'!$A$16:$G$59,7,0)="","",VLOOKUP(A14,'Estado SCI'!$A$16:$G$59,7,0))</f>
        <v>Si</v>
      </c>
      <c r="J14" s="142">
        <f t="shared" si="2"/>
        <v>1</v>
      </c>
      <c r="K14" s="143">
        <f t="shared" si="1"/>
        <v>0.85</v>
      </c>
    </row>
    <row r="15" spans="1:11" ht="15" customHeight="1" x14ac:dyDescent="0.25">
      <c r="A15" s="141" t="s">
        <v>157</v>
      </c>
      <c r="B15" s="141" t="s">
        <v>61</v>
      </c>
      <c r="C15" s="141" t="s">
        <v>62</v>
      </c>
      <c r="D15" s="141" t="s">
        <v>37</v>
      </c>
      <c r="E15" s="141" t="s">
        <v>158</v>
      </c>
      <c r="F15" s="141" t="str">
        <f>+VLOOKUP(A15,'Estado SCI'!$A$16:$I$59,9,0)</f>
        <v>Mantenimiento del control</v>
      </c>
      <c r="G15" s="141">
        <f>+VLOOKUP(A15,'Estado SCI'!$A$16:$L$59,12,0)</f>
        <v>40.234000000000002</v>
      </c>
      <c r="H15" s="141">
        <f t="shared" si="0"/>
        <v>17</v>
      </c>
      <c r="I15" s="141" t="str">
        <f>+IF(VLOOKUP(A15,'Estado SCI'!$A$16:$G$59,7,0)="","",VLOOKUP(A15,'Estado SCI'!$A$16:$G$59,7,0))</f>
        <v>Si</v>
      </c>
      <c r="J15" s="142">
        <f t="shared" si="2"/>
        <v>1</v>
      </c>
      <c r="K15" s="143">
        <f t="shared" si="1"/>
        <v>0.85</v>
      </c>
    </row>
    <row r="16" spans="1:11" ht="15" customHeight="1" x14ac:dyDescent="0.25">
      <c r="A16" s="141" t="s">
        <v>159</v>
      </c>
      <c r="B16" s="141" t="s">
        <v>61</v>
      </c>
      <c r="C16" s="141" t="s">
        <v>62</v>
      </c>
      <c r="D16" s="141" t="s">
        <v>40</v>
      </c>
      <c r="E16" s="141" t="s">
        <v>160</v>
      </c>
      <c r="F16" s="141" t="str">
        <f>+VLOOKUP(A16,'Estado SCI'!$A$16:$I$59,9,0)</f>
        <v>Mantenimiento del control</v>
      </c>
      <c r="G16" s="141">
        <f>+VLOOKUP(A16,'Estado SCI'!$A$16:$L$59,12,0)</f>
        <v>40.234499999999997</v>
      </c>
      <c r="H16" s="141">
        <f t="shared" si="0"/>
        <v>18</v>
      </c>
      <c r="I16" s="141" t="str">
        <f>+IF(VLOOKUP(A16,'Estado SCI'!$A$16:$G$59,7,0)="","",VLOOKUP(A16,'Estado SCI'!$A$16:$G$59,7,0))</f>
        <v>Si</v>
      </c>
      <c r="J16" s="142">
        <f t="shared" si="2"/>
        <v>1</v>
      </c>
      <c r="K16" s="143">
        <f t="shared" si="1"/>
        <v>0.85</v>
      </c>
    </row>
    <row r="17" spans="1:11" ht="15.75" customHeight="1" x14ac:dyDescent="0.25">
      <c r="A17" s="141" t="s">
        <v>161</v>
      </c>
      <c r="B17" s="141" t="s">
        <v>61</v>
      </c>
      <c r="C17" s="141" t="s">
        <v>62</v>
      </c>
      <c r="D17" s="141" t="s">
        <v>42</v>
      </c>
      <c r="E17" s="141" t="s">
        <v>66</v>
      </c>
      <c r="F17" s="141" t="str">
        <f>+VLOOKUP(A17,'Estado SCI'!$A$16:$I$59,9,0)</f>
        <v>Mantenimiento del control</v>
      </c>
      <c r="G17" s="141">
        <f>+VLOOKUP(A17,'Estado SCI'!$A$16:$L$59,12,0)</f>
        <v>40.234560000000002</v>
      </c>
      <c r="H17" s="141">
        <f t="shared" si="0"/>
        <v>19</v>
      </c>
      <c r="I17" s="141" t="str">
        <f>+IF(VLOOKUP(A17,'Estado SCI'!$A$16:$G$59,7,0)="","",VLOOKUP(A17,'Estado SCI'!$A$16:$G$59,7,0))</f>
        <v>Si</v>
      </c>
      <c r="J17" s="142">
        <f t="shared" si="2"/>
        <v>1</v>
      </c>
      <c r="K17" s="143">
        <f t="shared" si="1"/>
        <v>0.85</v>
      </c>
    </row>
    <row r="18" spans="1:11" ht="15" customHeight="1" x14ac:dyDescent="0.25">
      <c r="A18" s="141" t="s">
        <v>162</v>
      </c>
      <c r="B18" s="141" t="s">
        <v>61</v>
      </c>
      <c r="C18" s="141" t="s">
        <v>80</v>
      </c>
      <c r="D18" s="141" t="s">
        <v>34</v>
      </c>
      <c r="E18" s="141" t="s">
        <v>69</v>
      </c>
      <c r="F18" s="141" t="str">
        <f>+VLOOKUP(A18,'Estado SCI'!$A$16:$I$59,9,0)</f>
        <v>Mantenimiento del control</v>
      </c>
      <c r="G18" s="141">
        <f>+VLOOKUP(A18,'Estado SCI'!$A$16:$L$59,12,0)</f>
        <v>40.234566999999998</v>
      </c>
      <c r="H18" s="141">
        <f t="shared" si="0"/>
        <v>20</v>
      </c>
      <c r="I18" s="141" t="str">
        <f>+IF(VLOOKUP(A18,'Estado SCI'!$A$16:$G$59,7,0)="","",VLOOKUP(A18,'Estado SCI'!$A$16:$G$59,7,0))</f>
        <v>Si</v>
      </c>
      <c r="J18" s="142">
        <f t="shared" si="2"/>
        <v>1</v>
      </c>
      <c r="K18" s="143">
        <f t="shared" si="1"/>
        <v>0.85</v>
      </c>
    </row>
    <row r="19" spans="1:11" ht="15" customHeight="1" x14ac:dyDescent="0.25">
      <c r="A19" s="141" t="s">
        <v>163</v>
      </c>
      <c r="B19" s="141" t="s">
        <v>61</v>
      </c>
      <c r="C19" s="141" t="s">
        <v>80</v>
      </c>
      <c r="D19" s="141" t="s">
        <v>37</v>
      </c>
      <c r="E19" s="141" t="s">
        <v>70</v>
      </c>
      <c r="F19" s="141" t="str">
        <f>+VLOOKUP(A19,'Estado SCI'!$A$16:$I$59,9,0)</f>
        <v>Mantenimiento del control</v>
      </c>
      <c r="G19" s="141">
        <f>+VLOOKUP(A19,'Estado SCI'!$A$16:$L$59,12,0)</f>
        <v>40.234567800000001</v>
      </c>
      <c r="H19" s="141">
        <f t="shared" si="0"/>
        <v>21</v>
      </c>
      <c r="I19" s="141" t="str">
        <f>+IF(VLOOKUP(A19,'Estado SCI'!$A$16:$G$59,7,0)="","",VLOOKUP(A19,'Estado SCI'!$A$16:$G$59,7,0))</f>
        <v>Si</v>
      </c>
      <c r="J19" s="142">
        <f t="shared" si="2"/>
        <v>1</v>
      </c>
      <c r="K19" s="143">
        <f t="shared" si="1"/>
        <v>0.85</v>
      </c>
    </row>
    <row r="20" spans="1:11" ht="15" customHeight="1" x14ac:dyDescent="0.25">
      <c r="A20" s="141" t="s">
        <v>164</v>
      </c>
      <c r="B20" s="141" t="s">
        <v>61</v>
      </c>
      <c r="C20" s="141" t="s">
        <v>80</v>
      </c>
      <c r="D20" s="141" t="s">
        <v>40</v>
      </c>
      <c r="E20" s="141" t="s">
        <v>71</v>
      </c>
      <c r="F20" s="141" t="str">
        <f>+VLOOKUP(A20,'Estado SCI'!$A$16:$I$59,9,0)</f>
        <v>Oportunidad de mejora</v>
      </c>
      <c r="G20" s="141">
        <f>+VLOOKUP(A20,'Estado SCI'!$A$16:$L$59,12,0)</f>
        <v>30.234567890000001</v>
      </c>
      <c r="H20" s="141">
        <f t="shared" si="0"/>
        <v>13</v>
      </c>
      <c r="I20" s="141" t="str">
        <f>+IF(VLOOKUP(A20,'Estado SCI'!$A$16:$G$59,7,0)="","",VLOOKUP(A20,'Estado SCI'!$A$16:$G$59,7,0))</f>
        <v>En proceso</v>
      </c>
      <c r="J20" s="142">
        <f t="shared" si="2"/>
        <v>0.5</v>
      </c>
      <c r="K20" s="143">
        <f t="shared" si="1"/>
        <v>0.85</v>
      </c>
    </row>
    <row r="21" spans="1:11" ht="15.75" customHeight="1" x14ac:dyDescent="0.25">
      <c r="A21" s="141" t="s">
        <v>165</v>
      </c>
      <c r="B21" s="141" t="s">
        <v>61</v>
      </c>
      <c r="C21" s="141" t="s">
        <v>80</v>
      </c>
      <c r="D21" s="141" t="s">
        <v>34</v>
      </c>
      <c r="E21" s="141" t="s">
        <v>74</v>
      </c>
      <c r="F21" s="141" t="str">
        <f>+VLOOKUP(A21,'Estado SCI'!$A$16:$I$59,9,0)</f>
        <v>Oportunidad de mejora</v>
      </c>
      <c r="G21" s="141">
        <f>+VLOOKUP(A21,'Estado SCI'!$A$16:$L$59,12,0)</f>
        <v>30.234567891200001</v>
      </c>
      <c r="H21" s="141">
        <f t="shared" si="0"/>
        <v>14</v>
      </c>
      <c r="I21" s="141" t="str">
        <f>+IF(VLOOKUP(A21,'Estado SCI'!$A$16:$G$59,7,0)="","",VLOOKUP(A21,'Estado SCI'!$A$16:$G$59,7,0))</f>
        <v>En proceso</v>
      </c>
      <c r="J21" s="142">
        <f t="shared" si="2"/>
        <v>0.5</v>
      </c>
      <c r="K21" s="143">
        <f t="shared" si="1"/>
        <v>0.85</v>
      </c>
    </row>
    <row r="22" spans="1:11" ht="15" customHeight="1" x14ac:dyDescent="0.25">
      <c r="A22" s="141" t="s">
        <v>166</v>
      </c>
      <c r="B22" s="141" t="s">
        <v>61</v>
      </c>
      <c r="C22" s="141" t="s">
        <v>88</v>
      </c>
      <c r="D22" s="141" t="s">
        <v>37</v>
      </c>
      <c r="E22" s="141" t="s">
        <v>75</v>
      </c>
      <c r="F22" s="141" t="str">
        <f>+VLOOKUP(A22,'Estado SCI'!$A$16:$I$59,9,0)</f>
        <v>Oportunidad de mejora</v>
      </c>
      <c r="G22" s="141">
        <f>+VLOOKUP(A22,'Estado SCI'!$A$16:$L$59,12,0)</f>
        <v>30.23456789123</v>
      </c>
      <c r="H22" s="141">
        <f t="shared" si="0"/>
        <v>15</v>
      </c>
      <c r="I22" s="141" t="str">
        <f>+IF(VLOOKUP(A22,'Estado SCI'!$A$16:$G$59,7,0)="","",VLOOKUP(A22,'Estado SCI'!$A$16:$G$59,7,0))</f>
        <v>En proceso</v>
      </c>
      <c r="J22" s="142">
        <f t="shared" si="2"/>
        <v>0.5</v>
      </c>
      <c r="K22" s="143">
        <f t="shared" si="1"/>
        <v>0.85</v>
      </c>
    </row>
    <row r="23" spans="1:11" ht="15" customHeight="1" x14ac:dyDescent="0.25">
      <c r="A23" s="141" t="s">
        <v>167</v>
      </c>
      <c r="B23" s="141" t="s">
        <v>61</v>
      </c>
      <c r="C23" s="141" t="s">
        <v>88</v>
      </c>
      <c r="D23" s="141" t="s">
        <v>40</v>
      </c>
      <c r="E23" s="141" t="s">
        <v>77</v>
      </c>
      <c r="F23" s="141" t="str">
        <f>+VLOOKUP(A23,'Estado SCI'!$A$16:$I$59,9,0)</f>
        <v>Mantenimiento del control</v>
      </c>
      <c r="G23" s="141">
        <f>+VLOOKUP(A23,'Estado SCI'!$A$16:$L$59,12,0)</f>
        <v>40.234567891234001</v>
      </c>
      <c r="H23" s="141">
        <f t="shared" si="0"/>
        <v>22</v>
      </c>
      <c r="I23" s="141" t="str">
        <f>+IF(VLOOKUP(A23,'Estado SCI'!$A$16:$G$59,7,0)="","",VLOOKUP(A23,'Estado SCI'!$A$16:$G$59,7,0))</f>
        <v>Si</v>
      </c>
      <c r="J23" s="142">
        <f t="shared" si="2"/>
        <v>1</v>
      </c>
      <c r="K23" s="143">
        <f t="shared" si="1"/>
        <v>0.85</v>
      </c>
    </row>
    <row r="24" spans="1:11" ht="15" customHeight="1" x14ac:dyDescent="0.25">
      <c r="A24" s="141" t="s">
        <v>168</v>
      </c>
      <c r="B24" s="141" t="str">
        <f>+VLOOKUP(A24,'Estado SCI'!$A$16:$C$59,3,0)</f>
        <v>ACTIVIDADES DE CONTROL</v>
      </c>
      <c r="C24" s="141" t="s">
        <v>88</v>
      </c>
      <c r="D24" s="141" t="s">
        <v>34</v>
      </c>
      <c r="E24" s="141" t="s">
        <v>81</v>
      </c>
      <c r="F24" s="141" t="str">
        <f>+VLOOKUP(A24,'Estado SCI'!$A$16:$I$59,9,0)</f>
        <v>Mantenimiento del control</v>
      </c>
      <c r="G24" s="141">
        <f>+VLOOKUP(A24,'Estado SCI'!$A$16:$L$59,12,0)</f>
        <v>60.31</v>
      </c>
      <c r="H24" s="141">
        <f t="shared" si="0"/>
        <v>23</v>
      </c>
      <c r="I24" s="141" t="str">
        <f>+IF(VLOOKUP(A24,'Estado SCI'!$A$16:$G$59,7,0)="","",VLOOKUP(A24,'Estado SCI'!$A$16:$G$59,7,0))</f>
        <v>Si</v>
      </c>
      <c r="J24" s="142">
        <f t="shared" si="2"/>
        <v>1</v>
      </c>
      <c r="K24" s="143">
        <f t="shared" si="1"/>
        <v>1</v>
      </c>
    </row>
    <row r="25" spans="1:11" ht="15" customHeight="1" x14ac:dyDescent="0.25">
      <c r="A25" s="141" t="s">
        <v>169</v>
      </c>
      <c r="B25" s="141" t="s">
        <v>79</v>
      </c>
      <c r="C25" s="141" t="s">
        <v>88</v>
      </c>
      <c r="D25" s="141" t="s">
        <v>37</v>
      </c>
      <c r="E25" s="141" t="s">
        <v>82</v>
      </c>
      <c r="F25" s="141" t="str">
        <f>+VLOOKUP(A25,'Estado SCI'!$A$16:$I$59,9,0)</f>
        <v>Mantenimiento del control</v>
      </c>
      <c r="G25" s="141">
        <f>+VLOOKUP(A25,'Estado SCI'!$A$16:$L$59,12,0)</f>
        <v>60.323</v>
      </c>
      <c r="H25" s="141">
        <f t="shared" si="0"/>
        <v>24</v>
      </c>
      <c r="I25" s="141" t="str">
        <f>+IF(VLOOKUP(A25,'Estado SCI'!$A$16:$G$59,7,0)="","",VLOOKUP(A25,'Estado SCI'!$A$16:$G$59,7,0))</f>
        <v>Si</v>
      </c>
      <c r="J25" s="142">
        <f t="shared" si="2"/>
        <v>1</v>
      </c>
      <c r="K25" s="143">
        <f t="shared" si="1"/>
        <v>1</v>
      </c>
    </row>
    <row r="26" spans="1:11" ht="15" customHeight="1" x14ac:dyDescent="0.25">
      <c r="A26" s="141" t="s">
        <v>170</v>
      </c>
      <c r="B26" s="141" t="s">
        <v>79</v>
      </c>
      <c r="C26" s="141" t="s">
        <v>88</v>
      </c>
      <c r="D26" s="141" t="s">
        <v>40</v>
      </c>
      <c r="E26" s="141" t="s">
        <v>83</v>
      </c>
      <c r="F26" s="141" t="str">
        <f>+VLOOKUP(A26,'Estado SCI'!$A$16:$I$59,9,0)</f>
        <v>Mantenimiento del control</v>
      </c>
      <c r="G26" s="141">
        <f>+VLOOKUP(A26,'Estado SCI'!$A$16:$L$59,12,0)</f>
        <v>60.323999999999998</v>
      </c>
      <c r="H26" s="141">
        <f t="shared" si="0"/>
        <v>25</v>
      </c>
      <c r="I26" s="141" t="str">
        <f>+IF(VLOOKUP(A26,'Estado SCI'!$A$16:$G$59,7,0)="","",VLOOKUP(A26,'Estado SCI'!$A$16:$G$59,7,0))</f>
        <v>Si</v>
      </c>
      <c r="J26" s="142">
        <f t="shared" si="2"/>
        <v>1</v>
      </c>
      <c r="K26" s="143">
        <f t="shared" si="1"/>
        <v>1</v>
      </c>
    </row>
    <row r="27" spans="1:11" ht="15.75" customHeight="1" x14ac:dyDescent="0.25">
      <c r="A27" s="141" t="s">
        <v>171</v>
      </c>
      <c r="B27" s="141" t="s">
        <v>79</v>
      </c>
      <c r="C27" s="141" t="s">
        <v>88</v>
      </c>
      <c r="D27" s="141" t="s">
        <v>42</v>
      </c>
      <c r="E27" s="141" t="s">
        <v>84</v>
      </c>
      <c r="F27" s="141" t="str">
        <f>+VLOOKUP(A27,'Estado SCI'!$A$16:$I$59,9,0)</f>
        <v>Mantenimiento del control</v>
      </c>
      <c r="G27" s="141">
        <f>+VLOOKUP(A27,'Estado SCI'!$A$16:$L$59,12,0)</f>
        <v>60.325000000000003</v>
      </c>
      <c r="H27" s="141">
        <f t="shared" si="0"/>
        <v>26</v>
      </c>
      <c r="I27" s="141" t="str">
        <f>+IF(VLOOKUP(A27,'Estado SCI'!$A$16:$G$59,7,0)="","",VLOOKUP(A27,'Estado SCI'!$A$16:$G$59,7,0))</f>
        <v>Si</v>
      </c>
      <c r="J27" s="142">
        <f t="shared" si="2"/>
        <v>1</v>
      </c>
      <c r="K27" s="143">
        <f t="shared" si="1"/>
        <v>1</v>
      </c>
    </row>
    <row r="28" spans="1:11" ht="15" customHeight="1" x14ac:dyDescent="0.25">
      <c r="A28" s="141" t="s">
        <v>172</v>
      </c>
      <c r="B28" s="141" t="s">
        <v>79</v>
      </c>
      <c r="C28" s="141" t="s">
        <v>98</v>
      </c>
      <c r="D28" s="141" t="s">
        <v>44</v>
      </c>
      <c r="E28" s="141" t="s">
        <v>85</v>
      </c>
      <c r="F28" s="141" t="str">
        <f>+VLOOKUP(A28,'Estado SCI'!$A$16:$I$59,9,0)</f>
        <v>Mantenimiento del control</v>
      </c>
      <c r="G28" s="141">
        <f>+VLOOKUP(A28,'Estado SCI'!$A$16:$L$59,12,0)</f>
        <v>60.326000000000001</v>
      </c>
      <c r="H28" s="141">
        <f t="shared" si="0"/>
        <v>27</v>
      </c>
      <c r="I28" s="141" t="str">
        <f>+IF(VLOOKUP(A28,'Estado SCI'!$A$16:$G$59,7,0)="","",VLOOKUP(A28,'Estado SCI'!$A$16:$G$59,7,0))</f>
        <v>Si</v>
      </c>
      <c r="J28" s="142">
        <f t="shared" si="2"/>
        <v>1</v>
      </c>
      <c r="K28" s="143">
        <f t="shared" si="1"/>
        <v>1</v>
      </c>
    </row>
    <row r="29" spans="1:11" ht="15" customHeight="1" x14ac:dyDescent="0.25">
      <c r="A29" s="141" t="s">
        <v>173</v>
      </c>
      <c r="B29" s="141" t="str">
        <f>+VLOOKUP(A29,'Estado SCI'!$A$16:$C$59,3,0)</f>
        <v>INFORMACION Y COMUNICACIÓN</v>
      </c>
      <c r="C29" s="141" t="s">
        <v>98</v>
      </c>
      <c r="D29" s="141" t="s">
        <v>34</v>
      </c>
      <c r="E29" s="141" t="s">
        <v>89</v>
      </c>
      <c r="F29" s="141" t="str">
        <f>+VLOOKUP(A29,'Estado SCI'!$A$16:$I$59,9,0)</f>
        <v>Mantenimiento del control</v>
      </c>
      <c r="G29" s="141">
        <f>+VLOOKUP(A29,'Estado SCI'!$A$16:$L$59,12,0)</f>
        <v>80.412000000000006</v>
      </c>
      <c r="H29" s="141">
        <f t="shared" si="0"/>
        <v>30</v>
      </c>
      <c r="I29" s="141" t="str">
        <f>+IF(VLOOKUP(A29,'Estado SCI'!$A$16:$G$59,7,0)="","",VLOOKUP(A29,'Estado SCI'!$A$16:$G$59,7,0))</f>
        <v>Si</v>
      </c>
      <c r="J29" s="142">
        <f t="shared" si="2"/>
        <v>1</v>
      </c>
      <c r="K29" s="143">
        <f t="shared" si="1"/>
        <v>0.8571428571428571</v>
      </c>
    </row>
    <row r="30" spans="1:11" ht="15" customHeight="1" x14ac:dyDescent="0.25">
      <c r="A30" s="141" t="s">
        <v>174</v>
      </c>
      <c r="B30" s="141" t="s">
        <v>87</v>
      </c>
      <c r="C30" s="141" t="s">
        <v>98</v>
      </c>
      <c r="D30" s="141" t="s">
        <v>37</v>
      </c>
      <c r="E30" s="141" t="s">
        <v>90</v>
      </c>
      <c r="F30" s="141" t="str">
        <f>+VLOOKUP(A30,'Estado SCI'!$A$16:$I$59,9,0)</f>
        <v>Mantenimiento del control</v>
      </c>
      <c r="G30" s="141">
        <f>+VLOOKUP(A30,'Estado SCI'!$A$16:$L$59,12,0)</f>
        <v>80.412300000000002</v>
      </c>
      <c r="H30" s="141">
        <f t="shared" si="0"/>
        <v>31</v>
      </c>
      <c r="I30" s="141" t="str">
        <f>+IF(VLOOKUP(A30,'Estado SCI'!$A$16:$G$59,7,0)="","",VLOOKUP(A30,'Estado SCI'!$A$16:$G$59,7,0))</f>
        <v>Si</v>
      </c>
      <c r="J30" s="142">
        <f t="shared" si="2"/>
        <v>1</v>
      </c>
      <c r="K30" s="143">
        <f t="shared" si="1"/>
        <v>0.8571428571428571</v>
      </c>
    </row>
    <row r="31" spans="1:11" ht="15.75" customHeight="1" x14ac:dyDescent="0.25">
      <c r="A31" s="141" t="s">
        <v>175</v>
      </c>
      <c r="B31" s="141" t="s">
        <v>87</v>
      </c>
      <c r="C31" s="141" t="s">
        <v>98</v>
      </c>
      <c r="D31" s="141" t="s">
        <v>40</v>
      </c>
      <c r="E31" s="141" t="s">
        <v>91</v>
      </c>
      <c r="F31" s="141" t="str">
        <f>+VLOOKUP(A31,'Estado SCI'!$A$16:$I$59,9,0)</f>
        <v>Mantenimiento del control</v>
      </c>
      <c r="G31" s="141">
        <f>+VLOOKUP(A31,'Estado SCI'!$A$16:$L$59,12,0)</f>
        <v>80.41234</v>
      </c>
      <c r="H31" s="141">
        <f t="shared" si="0"/>
        <v>32</v>
      </c>
      <c r="I31" s="141" t="str">
        <f>+IF(VLOOKUP(A31,'Estado SCI'!$A$16:$G$59,7,0)="","",VLOOKUP(A31,'Estado SCI'!$A$16:$G$59,7,0))</f>
        <v>Si</v>
      </c>
      <c r="J31" s="142">
        <f t="shared" si="2"/>
        <v>1</v>
      </c>
      <c r="K31" s="143">
        <f t="shared" si="1"/>
        <v>0.8571428571428571</v>
      </c>
    </row>
    <row r="32" spans="1:11" x14ac:dyDescent="0.25">
      <c r="A32" s="141" t="s">
        <v>176</v>
      </c>
      <c r="B32" s="141" t="s">
        <v>87</v>
      </c>
      <c r="C32" s="141" t="s">
        <v>104</v>
      </c>
      <c r="D32" s="141" t="s">
        <v>42</v>
      </c>
      <c r="E32" s="141" t="s">
        <v>92</v>
      </c>
      <c r="F32" s="141" t="str">
        <f>+VLOOKUP(A32,'Estado SCI'!$A$16:$I$59,9,0)</f>
        <v>Mantenimiento del control</v>
      </c>
      <c r="G32" s="141">
        <f>+VLOOKUP(A32,'Estado SCI'!$A$16:$L$59,12,0)</f>
        <v>80.412345000000002</v>
      </c>
      <c r="H32" s="141">
        <f t="shared" si="0"/>
        <v>33</v>
      </c>
      <c r="I32" s="141" t="str">
        <f>+IF(VLOOKUP(A32,'Estado SCI'!$A$16:$G$59,7,0)="","",VLOOKUP(A32,'Estado SCI'!$A$16:$G$59,7,0))</f>
        <v>Si</v>
      </c>
      <c r="J32" s="142">
        <f t="shared" si="2"/>
        <v>1</v>
      </c>
      <c r="K32" s="143">
        <f t="shared" si="1"/>
        <v>0.8571428571428571</v>
      </c>
    </row>
    <row r="33" spans="1:11" x14ac:dyDescent="0.25">
      <c r="A33" s="141" t="s">
        <v>177</v>
      </c>
      <c r="B33" s="141" t="s">
        <v>87</v>
      </c>
      <c r="C33" s="141" t="s">
        <v>178</v>
      </c>
      <c r="D33" s="141" t="s">
        <v>44</v>
      </c>
      <c r="E33" s="141" t="s">
        <v>93</v>
      </c>
      <c r="F33" s="141" t="str">
        <f>+VLOOKUP(A33,'Estado SCI'!$A$16:$I$59,9,0)</f>
        <v>Mantenimiento del control</v>
      </c>
      <c r="G33" s="141">
        <f>+VLOOKUP(A33,'Estado SCI'!$A$16:$L$59,12,0)</f>
        <v>80.412345599999995</v>
      </c>
      <c r="H33" s="141">
        <f t="shared" si="0"/>
        <v>34</v>
      </c>
      <c r="I33" s="141" t="str">
        <f>+IF(VLOOKUP(A33,'Estado SCI'!$A$16:$G$59,7,0)="","",VLOOKUP(A33,'Estado SCI'!$A$16:$G$59,7,0))</f>
        <v>Si</v>
      </c>
      <c r="J33" s="142">
        <f t="shared" si="2"/>
        <v>1</v>
      </c>
      <c r="K33" s="143">
        <f t="shared" si="1"/>
        <v>0.8571428571428571</v>
      </c>
    </row>
    <row r="34" spans="1:11" x14ac:dyDescent="0.25">
      <c r="A34" s="141" t="s">
        <v>179</v>
      </c>
      <c r="B34" s="141" t="s">
        <v>87</v>
      </c>
      <c r="C34" s="141" t="s">
        <v>178</v>
      </c>
      <c r="D34" s="141" t="s">
        <v>46</v>
      </c>
      <c r="E34" s="141" t="s">
        <v>94</v>
      </c>
      <c r="F34" s="141" t="str">
        <f>+VLOOKUP(A34,'Estado SCI'!$A$16:$I$59,9,0)</f>
        <v>Oportunidad de mejora</v>
      </c>
      <c r="G34" s="141">
        <f>+VLOOKUP(A34,'Estado SCI'!$A$16:$L$59,12,0)</f>
        <v>70.412345669999993</v>
      </c>
      <c r="H34" s="141">
        <f t="shared" si="0"/>
        <v>28</v>
      </c>
      <c r="I34" s="141" t="str">
        <f>+IF(VLOOKUP(A34,'Estado SCI'!$A$16:$G$59,7,0)="","",VLOOKUP(A34,'Estado SCI'!$A$16:$G$59,7,0))</f>
        <v>En proceso</v>
      </c>
      <c r="J34" s="142">
        <f t="shared" si="2"/>
        <v>0.5</v>
      </c>
      <c r="K34" s="143">
        <f t="shared" si="1"/>
        <v>0.8571428571428571</v>
      </c>
    </row>
    <row r="35" spans="1:11" x14ac:dyDescent="0.25">
      <c r="A35" s="141" t="s">
        <v>180</v>
      </c>
      <c r="B35" s="141" t="s">
        <v>87</v>
      </c>
      <c r="C35" s="141" t="s">
        <v>178</v>
      </c>
      <c r="D35" s="141" t="s">
        <v>48</v>
      </c>
      <c r="E35" s="141" t="s">
        <v>95</v>
      </c>
      <c r="F35" s="141" t="str">
        <f>+VLOOKUP(A35,'Estado SCI'!$A$16:$I$59,9,0)</f>
        <v>Oportunidad de mejora</v>
      </c>
      <c r="G35" s="141">
        <f>+VLOOKUP(A35,'Estado SCI'!$A$16:$L$59,12,0)</f>
        <v>70.412345677999994</v>
      </c>
      <c r="H35" s="141">
        <f t="shared" si="0"/>
        <v>29</v>
      </c>
      <c r="I35" s="141" t="str">
        <f>+IF(VLOOKUP(A35,'Estado SCI'!$A$16:$G$59,7,0)="","",VLOOKUP(A35,'Estado SCI'!$A$16:$G$59,7,0))</f>
        <v>En proceso</v>
      </c>
      <c r="J35" s="142">
        <f t="shared" si="2"/>
        <v>0.5</v>
      </c>
      <c r="K35" s="143">
        <f t="shared" si="1"/>
        <v>0.8571428571428571</v>
      </c>
    </row>
    <row r="36" spans="1:11" x14ac:dyDescent="0.25">
      <c r="A36" s="141" t="s">
        <v>181</v>
      </c>
      <c r="B36" s="141" t="str">
        <f>+VLOOKUP(A36,'Estado SCI'!$A$16:$C$59,3,0)</f>
        <v>ACTIVIDADES DE MONITOREO</v>
      </c>
      <c r="C36" s="141" t="s">
        <v>178</v>
      </c>
      <c r="D36" s="141" t="s">
        <v>34</v>
      </c>
      <c r="E36" s="141" t="s">
        <v>99</v>
      </c>
      <c r="F36" s="141" t="str">
        <f>+VLOOKUP(A36,'Estado SCI'!$A$16:$I$59,9,0)</f>
        <v>Mantenimiento del control</v>
      </c>
      <c r="G36" s="141">
        <f>+VLOOKUP(A36,'Estado SCI'!$A$16:$L$59,12,0)</f>
        <v>120.851</v>
      </c>
      <c r="H36" s="141">
        <f t="shared" si="0"/>
        <v>35</v>
      </c>
      <c r="I36" s="141" t="str">
        <f>+IF(VLOOKUP(A36,'Estado SCI'!$A$16:$G$59,7,0)="","",VLOOKUP(A36,'Estado SCI'!$A$16:$G$59,7,0))</f>
        <v>Si</v>
      </c>
      <c r="J36" s="142">
        <f t="shared" si="2"/>
        <v>1</v>
      </c>
      <c r="K36" s="143">
        <f t="shared" si="1"/>
        <v>1</v>
      </c>
    </row>
    <row r="37" spans="1:11" x14ac:dyDescent="0.25">
      <c r="A37" s="141" t="s">
        <v>182</v>
      </c>
      <c r="B37" s="141" t="s">
        <v>97</v>
      </c>
      <c r="C37" s="141" t="s">
        <v>178</v>
      </c>
      <c r="D37" s="141" t="s">
        <v>42</v>
      </c>
      <c r="E37" s="141" t="s">
        <v>100</v>
      </c>
      <c r="F37" s="141" t="str">
        <f>+VLOOKUP(A37,'Estado SCI'!$A$16:$I$59,9,0)</f>
        <v>Mantenimiento del control</v>
      </c>
      <c r="G37" s="141">
        <f>+VLOOKUP(A37,'Estado SCI'!$A$16:$L$59,12,0)</f>
        <v>120.85120000000001</v>
      </c>
      <c r="H37" s="141">
        <f t="shared" si="0"/>
        <v>36</v>
      </c>
      <c r="I37" s="141" t="str">
        <f>+IF(VLOOKUP(A37,'Estado SCI'!$A$16:$G$59,7,0)="","",VLOOKUP(A37,'Estado SCI'!$A$16:$G$59,7,0))</f>
        <v>Si</v>
      </c>
      <c r="J37" s="142">
        <f t="shared" si="2"/>
        <v>1</v>
      </c>
      <c r="K37" s="143">
        <f t="shared" si="1"/>
        <v>1</v>
      </c>
    </row>
    <row r="38" spans="1:11" x14ac:dyDescent="0.25">
      <c r="A38" s="141" t="s">
        <v>183</v>
      </c>
      <c r="B38" s="141" t="s">
        <v>97</v>
      </c>
      <c r="C38" s="141" t="s">
        <v>68</v>
      </c>
      <c r="D38" s="141" t="s">
        <v>46</v>
      </c>
      <c r="E38" s="141" t="s">
        <v>101</v>
      </c>
      <c r="F38" s="141" t="str">
        <f>+VLOOKUP(A38,'Estado SCI'!$A$16:$I$59,9,0)</f>
        <v>Mantenimiento del control</v>
      </c>
      <c r="G38" s="141">
        <f>+VLOOKUP(A38,'Estado SCI'!$A$16:$L$59,12,0)</f>
        <v>120.85123</v>
      </c>
      <c r="H38" s="141">
        <f t="shared" si="0"/>
        <v>37</v>
      </c>
      <c r="I38" s="141" t="str">
        <f>+IF(VLOOKUP(A38,'Estado SCI'!$A$16:$G$59,7,0)="","",VLOOKUP(A38,'Estado SCI'!$A$16:$G$59,7,0))</f>
        <v>Si</v>
      </c>
      <c r="J38" s="142">
        <f t="shared" si="2"/>
        <v>1</v>
      </c>
      <c r="K38" s="143">
        <f t="shared" si="1"/>
        <v>1</v>
      </c>
    </row>
    <row r="39" spans="1:11" x14ac:dyDescent="0.25">
      <c r="A39" s="141" t="s">
        <v>184</v>
      </c>
      <c r="B39" s="141" t="s">
        <v>97</v>
      </c>
      <c r="C39" s="141" t="s">
        <v>68</v>
      </c>
      <c r="D39" s="141" t="s">
        <v>48</v>
      </c>
      <c r="E39" s="141" t="s">
        <v>102</v>
      </c>
      <c r="F39" s="141" t="str">
        <f>+VLOOKUP(A39,'Estado SCI'!$A$16:$I$59,9,0)</f>
        <v>Mantenimiento del control</v>
      </c>
      <c r="G39" s="141">
        <f>+VLOOKUP(A39,'Estado SCI'!$A$16:$L$59,12,0)</f>
        <v>120.85123400000001</v>
      </c>
      <c r="H39" s="141">
        <f t="shared" si="0"/>
        <v>38</v>
      </c>
      <c r="I39" s="141" t="str">
        <f>+IF(VLOOKUP(A39,'Estado SCI'!$A$16:$G$59,7,0)="","",VLOOKUP(A39,'Estado SCI'!$A$16:$G$59,7,0))</f>
        <v>Si</v>
      </c>
      <c r="J39" s="142">
        <f t="shared" si="2"/>
        <v>1</v>
      </c>
      <c r="K39" s="143">
        <f t="shared" si="1"/>
        <v>1</v>
      </c>
    </row>
    <row r="40" spans="1:11" x14ac:dyDescent="0.25">
      <c r="A40" s="141" t="s">
        <v>185</v>
      </c>
      <c r="B40" s="141" t="s">
        <v>97</v>
      </c>
      <c r="C40" s="141" t="s">
        <v>68</v>
      </c>
      <c r="D40" s="141" t="s">
        <v>50</v>
      </c>
      <c r="E40" s="141" t="s">
        <v>105</v>
      </c>
      <c r="F40" s="141" t="str">
        <f>+VLOOKUP(A40,'Estado SCI'!$A$16:$I$59,9,0)</f>
        <v>Mantenimiento del control</v>
      </c>
      <c r="G40" s="141">
        <f>+VLOOKUP(A40,'Estado SCI'!$A$16:$L$59,12,0)</f>
        <v>120.8512345</v>
      </c>
      <c r="H40" s="141">
        <f t="shared" si="0"/>
        <v>39</v>
      </c>
      <c r="I40" s="141" t="str">
        <f>+IF(VLOOKUP(A40,'Estado SCI'!$A$16:$G$59,7,0)="","",VLOOKUP(A40,'Estado SCI'!$A$16:$G$59,7,0))</f>
        <v>Si</v>
      </c>
      <c r="J40" s="142">
        <f t="shared" si="2"/>
        <v>1</v>
      </c>
      <c r="K40" s="143">
        <f t="shared" si="1"/>
        <v>1</v>
      </c>
    </row>
    <row r="41" spans="1:11" x14ac:dyDescent="0.25">
      <c r="A41" s="141" t="s">
        <v>186</v>
      </c>
      <c r="B41" s="141" t="s">
        <v>97</v>
      </c>
      <c r="C41" s="141" t="s">
        <v>68</v>
      </c>
      <c r="D41" s="141" t="s">
        <v>34</v>
      </c>
      <c r="E41" s="141" t="s">
        <v>108</v>
      </c>
      <c r="F41" s="141" t="str">
        <f>+VLOOKUP(A41,'Estado SCI'!$A$16:$I$59,9,0)</f>
        <v>Mantenimiento del control</v>
      </c>
      <c r="G41" s="141">
        <f>+VLOOKUP(A41,'Estado SCI'!$A$16:$L$59,12,0)</f>
        <v>120.85123455999999</v>
      </c>
      <c r="H41" s="141">
        <f t="shared" si="0"/>
        <v>40</v>
      </c>
      <c r="I41" s="141" t="str">
        <f>+IF(VLOOKUP(A41,'Estado SCI'!$A$16:$G$59,7,0)="","",VLOOKUP(A41,'Estado SCI'!$A$16:$G$59,7,0))</f>
        <v>Si</v>
      </c>
      <c r="J41" s="142">
        <f t="shared" si="2"/>
        <v>1</v>
      </c>
      <c r="K41" s="143">
        <f t="shared" si="1"/>
        <v>1</v>
      </c>
    </row>
    <row r="42" spans="1:11" x14ac:dyDescent="0.25">
      <c r="A42" s="141" t="s">
        <v>187</v>
      </c>
      <c r="B42" s="141" t="s">
        <v>97</v>
      </c>
      <c r="C42" s="141" t="s">
        <v>73</v>
      </c>
      <c r="D42" s="141" t="s">
        <v>37</v>
      </c>
      <c r="E42" s="141" t="s">
        <v>109</v>
      </c>
      <c r="F42" s="141" t="str">
        <f>+VLOOKUP(A42,'Estado SCI'!$A$16:$I$59,9,0)</f>
        <v>Mantenimiento del control</v>
      </c>
      <c r="G42" s="141">
        <f>+VLOOKUP(A42,'Estado SCI'!$A$16:$L$59,12,0)</f>
        <v>120.85123456700001</v>
      </c>
      <c r="H42" s="141">
        <f t="shared" si="0"/>
        <v>41</v>
      </c>
      <c r="I42" s="141" t="str">
        <f>+IF(VLOOKUP(A42,'Estado SCI'!$A$16:$G$59,7,0)="","",VLOOKUP(A42,'Estado SCI'!$A$16:$G$59,7,0))</f>
        <v>Si</v>
      </c>
      <c r="J42" s="142">
        <f t="shared" si="2"/>
        <v>1</v>
      </c>
      <c r="K42" s="143">
        <f t="shared" si="1"/>
        <v>1</v>
      </c>
    </row>
    <row r="43" spans="1:11" x14ac:dyDescent="0.25">
      <c r="A43" s="141" t="s">
        <v>188</v>
      </c>
      <c r="B43" s="141" t="s">
        <v>97</v>
      </c>
      <c r="C43" s="141" t="s">
        <v>73</v>
      </c>
      <c r="D43" s="141" t="s">
        <v>40</v>
      </c>
      <c r="E43" s="141" t="s">
        <v>110</v>
      </c>
      <c r="F43" s="141" t="str">
        <f>+VLOOKUP(A43,'Estado SCI'!$A$16:$I$59,9,0)</f>
        <v>Mantenimiento del control</v>
      </c>
      <c r="G43" s="141">
        <f>+VLOOKUP(A43,'Estado SCI'!$A$16:$L$59,12,0)</f>
        <v>120.85123456780001</v>
      </c>
      <c r="H43" s="141">
        <f t="shared" si="0"/>
        <v>42</v>
      </c>
      <c r="I43" s="141" t="str">
        <f>+IF(VLOOKUP(A43,'Estado SCI'!$A$16:$G$59,7,0)="","",VLOOKUP(A43,'Estado SCI'!$A$16:$G$59,7,0))</f>
        <v>Si</v>
      </c>
      <c r="J43" s="142">
        <f t="shared" si="2"/>
        <v>1</v>
      </c>
      <c r="K43" s="143">
        <f t="shared" si="1"/>
        <v>1</v>
      </c>
    </row>
    <row r="44" spans="1:11" x14ac:dyDescent="0.25">
      <c r="A44" s="141" t="s">
        <v>189</v>
      </c>
      <c r="B44" s="141" t="s">
        <v>97</v>
      </c>
      <c r="C44" s="141" t="s">
        <v>73</v>
      </c>
      <c r="D44" s="141" t="s">
        <v>42</v>
      </c>
      <c r="E44" s="141" t="s">
        <v>111</v>
      </c>
      <c r="F44" s="141" t="str">
        <f>+VLOOKUP(A44,'Estado SCI'!$A$16:$I$59,9,0)</f>
        <v>Mantenimiento del control</v>
      </c>
      <c r="G44" s="141">
        <f>+VLOOKUP(A44,'Estado SCI'!$A$16:$L$59,12,0)</f>
        <v>120.85123456789</v>
      </c>
      <c r="H44" s="141">
        <f t="shared" si="0"/>
        <v>43</v>
      </c>
      <c r="I44" s="141" t="str">
        <f>+IF(VLOOKUP(A44,'Estado SCI'!$A$16:$G$59,7,0)="","",VLOOKUP(A44,'Estado SCI'!$A$16:$G$59,7,0))</f>
        <v>Si</v>
      </c>
      <c r="J44" s="142">
        <f t="shared" si="2"/>
        <v>1</v>
      </c>
      <c r="K44" s="143">
        <f t="shared" si="1"/>
        <v>1</v>
      </c>
    </row>
    <row r="45" spans="1:11" x14ac:dyDescent="0.25">
      <c r="A45" s="141" t="s">
        <v>190</v>
      </c>
      <c r="B45" s="141" t="s">
        <v>97</v>
      </c>
      <c r="C45" s="141" t="s">
        <v>73</v>
      </c>
      <c r="D45" s="141" t="s">
        <v>44</v>
      </c>
      <c r="E45" s="141" t="s">
        <v>112</v>
      </c>
      <c r="F45" s="141" t="str">
        <f>+VLOOKUP(A45,'Estado SCI'!$A$16:$I$59,9,0)</f>
        <v>Mantenimiento del control</v>
      </c>
      <c r="G45" s="141">
        <f>+VLOOKUP(A45,'Estado SCI'!$A$16:$L$59,12,0)</f>
        <v>120.851234567891</v>
      </c>
      <c r="H45" s="141">
        <f t="shared" si="0"/>
        <v>44</v>
      </c>
      <c r="I45" s="141" t="str">
        <f>+IF(VLOOKUP(A45,'Estado SCI'!$A$16:$G$59,7,0)="","",VLOOKUP(A45,'Estado SCI'!$A$16:$G$59,7,0))</f>
        <v>Si</v>
      </c>
      <c r="J45" s="142">
        <f t="shared" si="2"/>
        <v>1</v>
      </c>
      <c r="K45" s="143">
        <f t="shared" si="1"/>
        <v>1</v>
      </c>
    </row>
  </sheetData>
  <sheetProtection algorithmName="SHA-512" hashValue="eXgkKlTi9xJKAI7t6Aeb2RaFpkfyF43pI2BIhtxDc7hsl0SqLK8I4Wc7jbZwC5kw3uyIHOBIUXRnh5cC70LKYA==" saltValue="AxKzX6Ar80vT7acQV8rFpQ==" spinCount="100000" sheet="1" objects="1" scenarios="1" selectLockedCells="1"/>
  <autoFilter ref="A1:K45" xr:uid="{00000000-0009-0000-0000-00000400000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Instructivo</vt:lpstr>
      <vt:lpstr>Estado SCI</vt:lpstr>
      <vt:lpstr>Análisis Resultados</vt:lpstr>
      <vt:lpstr>Conclusión</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Sala Juntas Piso 6</dc:creator>
  <cp:keywords/>
  <dc:description/>
  <cp:lastModifiedBy>SONIA</cp:lastModifiedBy>
  <cp:revision/>
  <cp:lastPrinted>2024-07-17T19:57:29Z</cp:lastPrinted>
  <dcterms:created xsi:type="dcterms:W3CDTF">2020-04-28T13:58:09Z</dcterms:created>
  <dcterms:modified xsi:type="dcterms:W3CDTF">2025-02-17T01:57:05Z</dcterms:modified>
  <cp:category/>
  <cp:contentStatus/>
</cp:coreProperties>
</file>